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855" tabRatio="599" activeTab="3"/>
  </bookViews>
  <sheets>
    <sheet name="Data" sheetId="1" r:id="rId1"/>
    <sheet name="Calculations" sheetId="2" r:id="rId2"/>
    <sheet name="Graph and Comments" sheetId="3" r:id="rId3"/>
    <sheet name="Report" sheetId="4" r:id="rId4"/>
  </sheets>
  <definedNames/>
  <calcPr fullCalcOnLoad="1"/>
</workbook>
</file>

<file path=xl/sharedStrings.xml><?xml version="1.0" encoding="utf-8"?>
<sst xmlns="http://schemas.openxmlformats.org/spreadsheetml/2006/main" count="226" uniqueCount="177">
  <si>
    <t>Texas Water Development Board</t>
  </si>
  <si>
    <t>Center Pivot Evaluation</t>
  </si>
  <si>
    <t>Name</t>
  </si>
  <si>
    <t>Date (MM/DD/YY)</t>
  </si>
  <si>
    <t>Technicians</t>
  </si>
  <si>
    <t>County</t>
  </si>
  <si>
    <t>Reference</t>
  </si>
  <si>
    <t>Pivot ID</t>
  </si>
  <si>
    <t>Number of Towers</t>
  </si>
  <si>
    <t>Drop Tube Spacing</t>
  </si>
  <si>
    <t>Type of Nozzle</t>
  </si>
  <si>
    <t>Pressure Regulated</t>
  </si>
  <si>
    <t>Pattern</t>
  </si>
  <si>
    <t>Wetted Diameter of Nozzle (ft)</t>
  </si>
  <si>
    <t>Position of Tube</t>
  </si>
  <si>
    <t>Brand Name</t>
  </si>
  <si>
    <t>Height of Nozzle (ft)</t>
  </si>
  <si>
    <t>Type of Crop</t>
  </si>
  <si>
    <t>Height of Crop (in)</t>
  </si>
  <si>
    <t>Soil Type</t>
  </si>
  <si>
    <t>Soil Moisture (%)</t>
  </si>
  <si>
    <t>Moisture at FC (in/ft)</t>
  </si>
  <si>
    <t>Wind Speed (mph)</t>
  </si>
  <si>
    <t>Wind Direction</t>
  </si>
  <si>
    <t>Temperature (F)</t>
  </si>
  <si>
    <t>Relative Humidity (%)</t>
  </si>
  <si>
    <t>End Tower</t>
  </si>
  <si>
    <t>Start Time (HH:MM:SS)</t>
  </si>
  <si>
    <t>Stop Time (HH:MM:SS)</t>
  </si>
  <si>
    <t>Distance Traveled (ft)</t>
  </si>
  <si>
    <t>Distance to End Tower (ft)</t>
  </si>
  <si>
    <t>Distance to Wetted Edge (ft)</t>
  </si>
  <si>
    <t>Flow at Pivot (gpm)</t>
  </si>
  <si>
    <t>Pressure at Pivot (psi)</t>
  </si>
  <si>
    <t>Pressure at End (psi)</t>
  </si>
  <si>
    <t>Dial Setting (%)</t>
  </si>
  <si>
    <t>Line Direction</t>
  </si>
  <si>
    <t>Moving</t>
  </si>
  <si>
    <t>Percent Full Circle (%)</t>
  </si>
  <si>
    <t>End Gun</t>
  </si>
  <si>
    <t>Calculations</t>
  </si>
  <si>
    <t>(Distance traveled*60)/time</t>
  </si>
  <si>
    <t xml:space="preserve">Tower Speed (fph) = </t>
  </si>
  <si>
    <t xml:space="preserve">Circumference (ft) = </t>
  </si>
  <si>
    <t>2*(length)*(3.14159)</t>
  </si>
  <si>
    <t>Circumference/Speed</t>
  </si>
  <si>
    <t xml:space="preserve">Acres Irrigated = </t>
  </si>
  <si>
    <t>(wetted edge^2*3.14159)/43560</t>
  </si>
  <si>
    <t xml:space="preserve">Gross Application (in) = </t>
  </si>
  <si>
    <t>(hpr*gpm)/453*acres</t>
  </si>
  <si>
    <t xml:space="preserve">Weighted System Avg (in) = </t>
  </si>
  <si>
    <t xml:space="preserve">Time/Revolution (hpr) = </t>
  </si>
  <si>
    <t>Catch Can Data</t>
  </si>
  <si>
    <t>Catch (ml)</t>
  </si>
  <si>
    <t>Can Number</t>
  </si>
  <si>
    <t>Tower</t>
  </si>
  <si>
    <t>Catch Can Data Calculations</t>
  </si>
  <si>
    <t>Can #</t>
  </si>
  <si>
    <t>Catch</t>
  </si>
  <si>
    <t>Inches</t>
  </si>
  <si>
    <t>Factor</t>
  </si>
  <si>
    <t>Low 25%</t>
  </si>
  <si>
    <t>Gross</t>
  </si>
  <si>
    <t>Average</t>
  </si>
  <si>
    <t>Weighted</t>
  </si>
  <si>
    <t>Distance</t>
  </si>
  <si>
    <t>From Pivot</t>
  </si>
  <si>
    <t>Low 25</t>
  </si>
  <si>
    <t>sum of catch factor/sum of factors</t>
  </si>
  <si>
    <t xml:space="preserve">Weighted Low 25% Avg = </t>
  </si>
  <si>
    <t>sum of low 25% factors/sum of 25% factors</t>
  </si>
  <si>
    <t xml:space="preserve">Pattern Efficiency = </t>
  </si>
  <si>
    <t>(weighted low 25%*100)/weighted system average</t>
  </si>
  <si>
    <t xml:space="preserve">Application Efficiency = </t>
  </si>
  <si>
    <t>Weighted system/gross application</t>
  </si>
  <si>
    <t xml:space="preserve">System Efficiency = </t>
  </si>
  <si>
    <t>Pattern Efficiency*Application efficiency</t>
  </si>
  <si>
    <t xml:space="preserve">Inches Water Needed = </t>
  </si>
  <si>
    <t>Moist % needed/Moisture capacity</t>
  </si>
  <si>
    <t>partial circle calculations</t>
  </si>
  <si>
    <t>Acres Irrigated =</t>
  </si>
  <si>
    <t>Hours/Revolution =</t>
  </si>
  <si>
    <t xml:space="preserve">Inches Per Day = </t>
  </si>
  <si>
    <t>Number of Catches =</t>
  </si>
  <si>
    <t>25% of catches =</t>
  </si>
  <si>
    <t>Low 25% less than</t>
  </si>
  <si>
    <t>Minimum Caught</t>
  </si>
  <si>
    <t>Maximum Caught</t>
  </si>
  <si>
    <t>Integrate soil moisture monitoring into the management system.</t>
  </si>
  <si>
    <t>along the length of the pivot.</t>
  </si>
  <si>
    <t>The "Inches Per Day" value represents the gross application of water when the pivot</t>
  </si>
  <si>
    <t>Verify soil type and moisture capacity with your local NRCS or water district office.</t>
  </si>
  <si>
    <t>Use attached graph to check high and low output nozzles.  Repair or replace as needed.</t>
  </si>
  <si>
    <t>A secondary check can be made using rain guages at various sites to check that the</t>
  </si>
  <si>
    <t>amount of water applied is in line with control box setting net inches applied chart.</t>
  </si>
  <si>
    <t>Chart data is based on a full circle.</t>
  </si>
  <si>
    <t>The moving average line reflects a general trend of the pattern and application of water</t>
  </si>
  <si>
    <t>Comments and Recommendations:</t>
  </si>
  <si>
    <t>Catch Can Results:</t>
  </si>
  <si>
    <t>Based on the catch can results (see graph sheet #3)</t>
  </si>
  <si>
    <t>Sheet #1</t>
  </si>
  <si>
    <t>Land Owner/User</t>
  </si>
  <si>
    <t>Date</t>
  </si>
  <si>
    <t>TWDB Technicians</t>
  </si>
  <si>
    <t>Hardware Inventory</t>
  </si>
  <si>
    <t>Brand Name and Model</t>
  </si>
  <si>
    <t>Nozzle:</t>
  </si>
  <si>
    <t>Type</t>
  </si>
  <si>
    <t>Position</t>
  </si>
  <si>
    <t>Spacing (ft)</t>
  </si>
  <si>
    <t>Height (ft)</t>
  </si>
  <si>
    <t>Field Data Inventory</t>
  </si>
  <si>
    <t>Time of Day</t>
  </si>
  <si>
    <t>End Tower Speed (ft/hr)</t>
  </si>
  <si>
    <t>Hours per Rev-Full Circle</t>
  </si>
  <si>
    <t>How Measured</t>
  </si>
  <si>
    <t>Pivot Moving</t>
  </si>
  <si>
    <t>Crop Height (in)</t>
  </si>
  <si>
    <t>End Gun (gpm)</t>
  </si>
  <si>
    <t>Area Irrigated</t>
  </si>
  <si>
    <t>Hours per Rev-Irrigated</t>
  </si>
  <si>
    <t>Acres Irrigated</t>
  </si>
  <si>
    <t>Inches per Day</t>
  </si>
  <si>
    <t>Net Water Needed (in/ft)</t>
  </si>
  <si>
    <t>Circumference-Full Circle (ft)</t>
  </si>
  <si>
    <t>Electronic Flow Meter</t>
  </si>
  <si>
    <t>Field Capacity (in/ft)</t>
  </si>
  <si>
    <t>To Wetted Edge (ft)</t>
  </si>
  <si>
    <t>Sheet #2</t>
  </si>
  <si>
    <t>Gross Application</t>
  </si>
  <si>
    <t xml:space="preserve"> in</t>
  </si>
  <si>
    <t xml:space="preserve">Gross Application = (hours/revolution*gpm)/(453*acres) = </t>
  </si>
  <si>
    <t xml:space="preserve">Weighted System Average = </t>
  </si>
  <si>
    <t xml:space="preserve">Weighted Low 25% Average = </t>
  </si>
  <si>
    <t>Can Catch Results</t>
  </si>
  <si>
    <t>Application Efficiency</t>
  </si>
  <si>
    <t>Compares the amount of water pumped to the amount of</t>
  </si>
  <si>
    <t>water caught.  Any difference is a loss that is due to</t>
  </si>
  <si>
    <t>evaporation, wind drift, or leak.</t>
  </si>
  <si>
    <t>Application Efficiency = Weighted Avg*100/Gross Appl. =</t>
  </si>
  <si>
    <t>It is expressed as inches of water over the area irrigated.</t>
  </si>
  <si>
    <t>is the amount of water actually being pumped into the system.</t>
  </si>
  <si>
    <t>Sheet #3</t>
  </si>
  <si>
    <t>Sheet #4</t>
  </si>
  <si>
    <t>Control Box Dial Setting (%)</t>
  </si>
  <si>
    <t>System Pumping (gpm)</t>
  </si>
  <si>
    <t>Application Efficiency (%)</t>
  </si>
  <si>
    <t>Hours/Full Revolution</t>
  </si>
  <si>
    <t>Net Inches</t>
  </si>
  <si>
    <t>Gross Inches</t>
  </si>
  <si>
    <t>Sheet #5</t>
  </si>
  <si>
    <t xml:space="preserve"> </t>
  </si>
  <si>
    <t>Speed Indicator Setting</t>
  </si>
  <si>
    <t>MS, MM</t>
  </si>
  <si>
    <t>South</t>
  </si>
  <si>
    <t>CCW</t>
  </si>
  <si>
    <t>Water need was based on 65% soil moisture and .72" water/ft of soil at field capacity.</t>
  </si>
  <si>
    <t>Wobbler</t>
  </si>
  <si>
    <t>Peanuts</t>
  </si>
  <si>
    <t>East</t>
  </si>
  <si>
    <t>Spans 1 thru 4 were applying below the average.</t>
  </si>
  <si>
    <t>Spans 15 thru 17 were applying slightly below the average.</t>
  </si>
  <si>
    <t>The application rate ranged from a high of 1.72 inches to a low of 0.34 inches.</t>
  </si>
  <si>
    <t>65 est.</t>
  </si>
  <si>
    <t>Spans 11 thru 13 are applying more than the average.</t>
  </si>
  <si>
    <t>Home</t>
  </si>
  <si>
    <t>UWCD</t>
  </si>
  <si>
    <t>completes one full revolution in 24 hours at 1450 gpm.</t>
  </si>
  <si>
    <t>SW Section 101</t>
  </si>
  <si>
    <t>Joe Irrigator</t>
  </si>
  <si>
    <t>Acme Pivots</t>
  </si>
  <si>
    <t>Yes</t>
  </si>
  <si>
    <t>Full Circle</t>
  </si>
  <si>
    <t>Varies</t>
  </si>
  <si>
    <t>Drop</t>
  </si>
  <si>
    <t>Brownfield Fine Sand</t>
  </si>
  <si>
    <t>N/A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</si>
</sst>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_(* #,##0.0_);_(* \(#,##0.0\);_(* &quot;-&quot;??_);_(@_)"/>
    <numFmt numFmtId="168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8.5"/>
      <name val="Arial"/>
      <family val="0"/>
    </font>
    <font>
      <b/>
      <sz val="22.25"/>
      <name val="Times New Roman"/>
      <family val="1"/>
    </font>
    <font>
      <b/>
      <sz val="18"/>
      <name val="Times New Roman"/>
      <family val="1"/>
    </font>
    <font>
      <b/>
      <sz val="11.25"/>
      <name val="Times New Roman"/>
      <family val="1"/>
    </font>
    <font>
      <sz val="17.5"/>
      <name val="Arial"/>
      <family val="0"/>
    </font>
    <font>
      <sz val="15"/>
      <name val="Arial"/>
      <family val="0"/>
    </font>
    <font>
      <sz val="8.25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14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  <xf numFmtId="9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14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9" fontId="2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6" fontId="2" fillId="0" borderId="6" xfId="0" applyNumberFormat="1" applyFont="1" applyBorder="1" applyAlignment="1">
      <alignment/>
    </xf>
    <xf numFmtId="46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2" fontId="2" fillId="0" borderId="5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2" fontId="2" fillId="0" borderId="0" xfId="0" applyNumberFormat="1" applyFont="1" applyAlignment="1">
      <alignment/>
    </xf>
    <xf numFmtId="18" fontId="2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9" fontId="2" fillId="0" borderId="0" xfId="19" applyFont="1" applyAlignment="1">
      <alignment/>
    </xf>
    <xf numFmtId="168" fontId="2" fillId="0" borderId="0" xfId="15" applyNumberFormat="1" applyFont="1" applyAlignment="1">
      <alignment/>
    </xf>
    <xf numFmtId="0" fontId="2" fillId="0" borderId="6" xfId="0" applyFont="1" applyBorder="1" applyAlignment="1" quotePrefix="1">
      <alignment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Pattern Distribution</a:t>
            </a:r>
            <a:r>
              <a:rPr lang="en-US" cap="none" sz="2225" b="1" i="0" u="none" baseline="0"/>
              <a:t> 
</a:t>
            </a:r>
            <a:r>
              <a:rPr lang="en-US" cap="none" sz="1200" b="1" i="0" u="none" baseline="0"/>
              <a:t>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2005"/>
          <c:w val="0.92675"/>
          <c:h val="0.62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Calculations!$I$3:$I$4</c:f>
              <c:strCache>
                <c:ptCount val="1"/>
                <c:pt idx="0">
                  <c:v>Inches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Calculations!$O$3:$O$4</c:f>
              <c:strCache>
                <c:ptCount val="1"/>
                <c:pt idx="0">
                  <c:v>Weighted Average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50477051"/>
        <c:axId val="51640276"/>
      </c:scatterChart>
      <c:valAx>
        <c:axId val="50477051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1640276"/>
        <c:crosses val="autoZero"/>
        <c:crossBetween val="midCat"/>
        <c:dispUnits/>
      </c:valAx>
      <c:valAx>
        <c:axId val="516402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047705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5525"/>
          <c:y val="0.930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Pattern Distribution 
Varriation of Catch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075"/>
          <c:y val="0.161"/>
          <c:w val="0.90925"/>
          <c:h val="0.64525"/>
        </c:manualLayout>
      </c:layout>
      <c:scatterChart>
        <c:scatterStyle val="lineMarker"/>
        <c:varyColors val="0"/>
        <c:ser>
          <c:idx val="0"/>
          <c:order val="0"/>
          <c:tx>
            <c:v>Catch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Calculations!$I$5:$I$83</c:f>
              <c:numCache>
                <c:ptCount val="79"/>
                <c:pt idx="0">
                  <c:v>0.78</c:v>
                </c:pt>
                <c:pt idx="1">
                  <c:v>0.36</c:v>
                </c:pt>
                <c:pt idx="2">
                  <c:v>0.5</c:v>
                </c:pt>
                <c:pt idx="3">
                  <c:v>1.06</c:v>
                </c:pt>
                <c:pt idx="4">
                  <c:v>0.82</c:v>
                </c:pt>
                <c:pt idx="5">
                  <c:v>0.58</c:v>
                </c:pt>
                <c:pt idx="6">
                  <c:v>0.8</c:v>
                </c:pt>
                <c:pt idx="7">
                  <c:v>0.62</c:v>
                </c:pt>
                <c:pt idx="8">
                  <c:v>0.78</c:v>
                </c:pt>
                <c:pt idx="9">
                  <c:v>0.78</c:v>
                </c:pt>
                <c:pt idx="10">
                  <c:v>0.86</c:v>
                </c:pt>
                <c:pt idx="11">
                  <c:v>0.62</c:v>
                </c:pt>
                <c:pt idx="12">
                  <c:v>0.78</c:v>
                </c:pt>
                <c:pt idx="13">
                  <c:v>0.74</c:v>
                </c:pt>
                <c:pt idx="14">
                  <c:v>0.76</c:v>
                </c:pt>
                <c:pt idx="15">
                  <c:v>0.74</c:v>
                </c:pt>
                <c:pt idx="16">
                  <c:v>0.9</c:v>
                </c:pt>
                <c:pt idx="17">
                  <c:v>0.42</c:v>
                </c:pt>
                <c:pt idx="18">
                  <c:v>0.8</c:v>
                </c:pt>
                <c:pt idx="19">
                  <c:v>1.04</c:v>
                </c:pt>
                <c:pt idx="20">
                  <c:v>0.94</c:v>
                </c:pt>
                <c:pt idx="21">
                  <c:v>1.12</c:v>
                </c:pt>
                <c:pt idx="22">
                  <c:v>1.02</c:v>
                </c:pt>
                <c:pt idx="23">
                  <c:v>0.82</c:v>
                </c:pt>
                <c:pt idx="24">
                  <c:v>0.92</c:v>
                </c:pt>
                <c:pt idx="25">
                  <c:v>1</c:v>
                </c:pt>
                <c:pt idx="26">
                  <c:v>1.02</c:v>
                </c:pt>
                <c:pt idx="27">
                  <c:v>0.98</c:v>
                </c:pt>
                <c:pt idx="28">
                  <c:v>1.02</c:v>
                </c:pt>
                <c:pt idx="29">
                  <c:v>1.16</c:v>
                </c:pt>
                <c:pt idx="30">
                  <c:v>0.92</c:v>
                </c:pt>
                <c:pt idx="31">
                  <c:v>1.1</c:v>
                </c:pt>
                <c:pt idx="32">
                  <c:v>0.96</c:v>
                </c:pt>
                <c:pt idx="33">
                  <c:v>1.16</c:v>
                </c:pt>
                <c:pt idx="34">
                  <c:v>1.02</c:v>
                </c:pt>
                <c:pt idx="35">
                  <c:v>1.04</c:v>
                </c:pt>
                <c:pt idx="36">
                  <c:v>1.02</c:v>
                </c:pt>
                <c:pt idx="37">
                  <c:v>0.98</c:v>
                </c:pt>
                <c:pt idx="38">
                  <c:v>0.34</c:v>
                </c:pt>
                <c:pt idx="39">
                  <c:v>1.02</c:v>
                </c:pt>
                <c:pt idx="40">
                  <c:v>1.12</c:v>
                </c:pt>
                <c:pt idx="41">
                  <c:v>0.98</c:v>
                </c:pt>
                <c:pt idx="42">
                  <c:v>0.9</c:v>
                </c:pt>
                <c:pt idx="43">
                  <c:v>1.08</c:v>
                </c:pt>
                <c:pt idx="44">
                  <c:v>1.02</c:v>
                </c:pt>
                <c:pt idx="45">
                  <c:v>1.16</c:v>
                </c:pt>
                <c:pt idx="46">
                  <c:v>1.06</c:v>
                </c:pt>
                <c:pt idx="47">
                  <c:v>1.14</c:v>
                </c:pt>
                <c:pt idx="48">
                  <c:v>1.32</c:v>
                </c:pt>
                <c:pt idx="49">
                  <c:v>1.04</c:v>
                </c:pt>
                <c:pt idx="50">
                  <c:v>1</c:v>
                </c:pt>
                <c:pt idx="51">
                  <c:v>1.04</c:v>
                </c:pt>
                <c:pt idx="52">
                  <c:v>1.02</c:v>
                </c:pt>
                <c:pt idx="53">
                  <c:v>1.12</c:v>
                </c:pt>
                <c:pt idx="54">
                  <c:v>1.08</c:v>
                </c:pt>
                <c:pt idx="55">
                  <c:v>1.14</c:v>
                </c:pt>
                <c:pt idx="56">
                  <c:v>0.94</c:v>
                </c:pt>
                <c:pt idx="57">
                  <c:v>1.06</c:v>
                </c:pt>
                <c:pt idx="58">
                  <c:v>0.94</c:v>
                </c:pt>
                <c:pt idx="59">
                  <c:v>0.92</c:v>
                </c:pt>
                <c:pt idx="60">
                  <c:v>1.72</c:v>
                </c:pt>
                <c:pt idx="61">
                  <c:v>0.94</c:v>
                </c:pt>
                <c:pt idx="62">
                  <c:v>0.82</c:v>
                </c:pt>
                <c:pt idx="63">
                  <c:v>0.98</c:v>
                </c:pt>
                <c:pt idx="64">
                  <c:v>0.92</c:v>
                </c:pt>
                <c:pt idx="65">
                  <c:v>0.82</c:v>
                </c:pt>
                <c:pt idx="66">
                  <c:v>0.94</c:v>
                </c:pt>
                <c:pt idx="67">
                  <c:v>0.82</c:v>
                </c:pt>
                <c:pt idx="68">
                  <c:v>0.98</c:v>
                </c:pt>
                <c:pt idx="69">
                  <c:v>0.82</c:v>
                </c:pt>
                <c:pt idx="70">
                  <c:v>0.84</c:v>
                </c:pt>
                <c:pt idx="71">
                  <c:v>0.9</c:v>
                </c:pt>
                <c:pt idx="72">
                  <c:v>0.86</c:v>
                </c:pt>
                <c:pt idx="73">
                  <c:v>0.84</c:v>
                </c:pt>
                <c:pt idx="74">
                  <c:v>0.88</c:v>
                </c:pt>
                <c:pt idx="75">
                  <c:v>0.84</c:v>
                </c:pt>
                <c:pt idx="76">
                  <c:v>0.84</c:v>
                </c:pt>
                <c:pt idx="77">
                  <c:v>0.88</c:v>
                </c:pt>
                <c:pt idx="78">
                  <c:v>0.7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Calculations!$L$4</c:f>
              <c:strCache>
                <c:ptCount val="1"/>
                <c:pt idx="0">
                  <c:v>Gross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Calculations!$L$5:$L$83</c:f>
              <c:numCache>
                <c:ptCount val="79"/>
                <c:pt idx="0">
                  <c:v>1.0113402687304711</c:v>
                </c:pt>
                <c:pt idx="1">
                  <c:v>1.0113402687304711</c:v>
                </c:pt>
                <c:pt idx="2">
                  <c:v>1.0113402687304711</c:v>
                </c:pt>
                <c:pt idx="3">
                  <c:v>1.0113402687304711</c:v>
                </c:pt>
                <c:pt idx="4">
                  <c:v>1.0113402687304711</c:v>
                </c:pt>
                <c:pt idx="5">
                  <c:v>1.0113402687304711</c:v>
                </c:pt>
                <c:pt idx="6">
                  <c:v>1.0113402687304711</c:v>
                </c:pt>
                <c:pt idx="7">
                  <c:v>1.0113402687304711</c:v>
                </c:pt>
                <c:pt idx="8">
                  <c:v>1.0113402687304711</c:v>
                </c:pt>
                <c:pt idx="9">
                  <c:v>1.0113402687304711</c:v>
                </c:pt>
                <c:pt idx="10">
                  <c:v>1.0113402687304711</c:v>
                </c:pt>
                <c:pt idx="11">
                  <c:v>1.0113402687304711</c:v>
                </c:pt>
                <c:pt idx="12">
                  <c:v>1.0113402687304711</c:v>
                </c:pt>
                <c:pt idx="13">
                  <c:v>1.0113402687304711</c:v>
                </c:pt>
                <c:pt idx="14">
                  <c:v>1.0113402687304711</c:v>
                </c:pt>
                <c:pt idx="15">
                  <c:v>1.0113402687304711</c:v>
                </c:pt>
                <c:pt idx="16">
                  <c:v>1.0113402687304711</c:v>
                </c:pt>
                <c:pt idx="17">
                  <c:v>1.0113402687304711</c:v>
                </c:pt>
                <c:pt idx="18">
                  <c:v>1.0113402687304711</c:v>
                </c:pt>
                <c:pt idx="19">
                  <c:v>1.0113402687304711</c:v>
                </c:pt>
                <c:pt idx="20">
                  <c:v>1.0113402687304711</c:v>
                </c:pt>
                <c:pt idx="21">
                  <c:v>1.0113402687304711</c:v>
                </c:pt>
                <c:pt idx="22">
                  <c:v>1.0113402687304711</c:v>
                </c:pt>
                <c:pt idx="23">
                  <c:v>1.0113402687304711</c:v>
                </c:pt>
                <c:pt idx="24">
                  <c:v>1.0113402687304711</c:v>
                </c:pt>
                <c:pt idx="25">
                  <c:v>1.0113402687304711</c:v>
                </c:pt>
                <c:pt idx="26">
                  <c:v>1.0113402687304711</c:v>
                </c:pt>
                <c:pt idx="27">
                  <c:v>1.0113402687304711</c:v>
                </c:pt>
                <c:pt idx="28">
                  <c:v>1.0113402687304711</c:v>
                </c:pt>
                <c:pt idx="29">
                  <c:v>1.0113402687304711</c:v>
                </c:pt>
                <c:pt idx="30">
                  <c:v>1.0113402687304711</c:v>
                </c:pt>
                <c:pt idx="31">
                  <c:v>1.0113402687304711</c:v>
                </c:pt>
                <c:pt idx="32">
                  <c:v>1.0113402687304711</c:v>
                </c:pt>
                <c:pt idx="33">
                  <c:v>1.0113402687304711</c:v>
                </c:pt>
                <c:pt idx="34">
                  <c:v>1.0113402687304711</c:v>
                </c:pt>
                <c:pt idx="35">
                  <c:v>1.0113402687304711</c:v>
                </c:pt>
                <c:pt idx="36">
                  <c:v>1.0113402687304711</c:v>
                </c:pt>
                <c:pt idx="37">
                  <c:v>1.0113402687304711</c:v>
                </c:pt>
                <c:pt idx="38">
                  <c:v>1.0113402687304711</c:v>
                </c:pt>
                <c:pt idx="39">
                  <c:v>1.0113402687304711</c:v>
                </c:pt>
                <c:pt idx="40">
                  <c:v>1.0113402687304711</c:v>
                </c:pt>
                <c:pt idx="41">
                  <c:v>1.0113402687304711</c:v>
                </c:pt>
                <c:pt idx="42">
                  <c:v>1.0113402687304711</c:v>
                </c:pt>
                <c:pt idx="43">
                  <c:v>1.0113402687304711</c:v>
                </c:pt>
                <c:pt idx="44">
                  <c:v>1.0113402687304711</c:v>
                </c:pt>
                <c:pt idx="45">
                  <c:v>1.0113402687304711</c:v>
                </c:pt>
                <c:pt idx="46">
                  <c:v>1.0113402687304711</c:v>
                </c:pt>
                <c:pt idx="47">
                  <c:v>1.0113402687304711</c:v>
                </c:pt>
                <c:pt idx="48">
                  <c:v>1.0113402687304711</c:v>
                </c:pt>
                <c:pt idx="49">
                  <c:v>1.0113402687304711</c:v>
                </c:pt>
                <c:pt idx="50">
                  <c:v>1.0113402687304711</c:v>
                </c:pt>
                <c:pt idx="51">
                  <c:v>1.0113402687304711</c:v>
                </c:pt>
                <c:pt idx="52">
                  <c:v>1.0113402687304711</c:v>
                </c:pt>
                <c:pt idx="53">
                  <c:v>1.0113402687304711</c:v>
                </c:pt>
                <c:pt idx="54">
                  <c:v>1.0113402687304711</c:v>
                </c:pt>
                <c:pt idx="55">
                  <c:v>1.0113402687304711</c:v>
                </c:pt>
                <c:pt idx="56">
                  <c:v>1.0113402687304711</c:v>
                </c:pt>
                <c:pt idx="57">
                  <c:v>1.0113402687304711</c:v>
                </c:pt>
                <c:pt idx="58">
                  <c:v>1.0113402687304711</c:v>
                </c:pt>
                <c:pt idx="59">
                  <c:v>1.0113402687304711</c:v>
                </c:pt>
                <c:pt idx="60">
                  <c:v>1.0113402687304711</c:v>
                </c:pt>
                <c:pt idx="61">
                  <c:v>1.0113402687304711</c:v>
                </c:pt>
                <c:pt idx="62">
                  <c:v>1.0113402687304711</c:v>
                </c:pt>
                <c:pt idx="63">
                  <c:v>1.0113402687304711</c:v>
                </c:pt>
                <c:pt idx="64">
                  <c:v>1.0113402687304711</c:v>
                </c:pt>
                <c:pt idx="65">
                  <c:v>1.0113402687304711</c:v>
                </c:pt>
                <c:pt idx="66">
                  <c:v>1.0113402687304711</c:v>
                </c:pt>
                <c:pt idx="67">
                  <c:v>1.0113402687304711</c:v>
                </c:pt>
                <c:pt idx="68">
                  <c:v>1.0113402687304711</c:v>
                </c:pt>
                <c:pt idx="69">
                  <c:v>1.0113402687304711</c:v>
                </c:pt>
                <c:pt idx="70">
                  <c:v>1.0113402687304711</c:v>
                </c:pt>
                <c:pt idx="71">
                  <c:v>1.0113402687304711</c:v>
                </c:pt>
                <c:pt idx="72">
                  <c:v>1.0113402687304711</c:v>
                </c:pt>
                <c:pt idx="73">
                  <c:v>1.0113402687304711</c:v>
                </c:pt>
                <c:pt idx="74">
                  <c:v>1.0113402687304711</c:v>
                </c:pt>
                <c:pt idx="75">
                  <c:v>1.0113402687304711</c:v>
                </c:pt>
                <c:pt idx="76">
                  <c:v>1.0113402687304711</c:v>
                </c:pt>
                <c:pt idx="77">
                  <c:v>1.0113402687304711</c:v>
                </c:pt>
                <c:pt idx="78">
                  <c:v>1.0113402687304711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Calculations!$M$4</c:f>
              <c:strCache>
                <c:ptCount val="1"/>
                <c:pt idx="0">
                  <c:v>Low 25%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Calculations!$M$5:$M$83</c:f>
              <c:numCache>
                <c:ptCount val="79"/>
                <c:pt idx="0">
                  <c:v>0.7355908289241623</c:v>
                </c:pt>
                <c:pt idx="1">
                  <c:v>0.7355908289241623</c:v>
                </c:pt>
                <c:pt idx="2">
                  <c:v>0.7355908289241623</c:v>
                </c:pt>
                <c:pt idx="3">
                  <c:v>0.7355908289241623</c:v>
                </c:pt>
                <c:pt idx="4">
                  <c:v>0.7355908289241623</c:v>
                </c:pt>
                <c:pt idx="5">
                  <c:v>0.7355908289241623</c:v>
                </c:pt>
                <c:pt idx="6">
                  <c:v>0.7355908289241623</c:v>
                </c:pt>
                <c:pt idx="7">
                  <c:v>0.7355908289241623</c:v>
                </c:pt>
                <c:pt idx="8">
                  <c:v>0.7355908289241623</c:v>
                </c:pt>
                <c:pt idx="9">
                  <c:v>0.7355908289241623</c:v>
                </c:pt>
                <c:pt idx="10">
                  <c:v>0.7355908289241623</c:v>
                </c:pt>
                <c:pt idx="11">
                  <c:v>0.7355908289241623</c:v>
                </c:pt>
                <c:pt idx="12">
                  <c:v>0.7355908289241623</c:v>
                </c:pt>
                <c:pt idx="13">
                  <c:v>0.7355908289241623</c:v>
                </c:pt>
                <c:pt idx="14">
                  <c:v>0.7355908289241623</c:v>
                </c:pt>
                <c:pt idx="15">
                  <c:v>0.7355908289241623</c:v>
                </c:pt>
                <c:pt idx="16">
                  <c:v>0.7355908289241623</c:v>
                </c:pt>
                <c:pt idx="17">
                  <c:v>0.7355908289241623</c:v>
                </c:pt>
                <c:pt idx="18">
                  <c:v>0.7355908289241623</c:v>
                </c:pt>
                <c:pt idx="19">
                  <c:v>0.7355908289241623</c:v>
                </c:pt>
                <c:pt idx="20">
                  <c:v>0.7355908289241623</c:v>
                </c:pt>
                <c:pt idx="21">
                  <c:v>0.7355908289241623</c:v>
                </c:pt>
                <c:pt idx="22">
                  <c:v>0.7355908289241623</c:v>
                </c:pt>
                <c:pt idx="23">
                  <c:v>0.7355908289241623</c:v>
                </c:pt>
                <c:pt idx="24">
                  <c:v>0.7355908289241623</c:v>
                </c:pt>
                <c:pt idx="25">
                  <c:v>0.7355908289241623</c:v>
                </c:pt>
                <c:pt idx="26">
                  <c:v>0.7355908289241623</c:v>
                </c:pt>
                <c:pt idx="27">
                  <c:v>0.7355908289241623</c:v>
                </c:pt>
                <c:pt idx="28">
                  <c:v>0.7355908289241623</c:v>
                </c:pt>
                <c:pt idx="29">
                  <c:v>0.7355908289241623</c:v>
                </c:pt>
                <c:pt idx="30">
                  <c:v>0.7355908289241623</c:v>
                </c:pt>
                <c:pt idx="31">
                  <c:v>0.7355908289241623</c:v>
                </c:pt>
                <c:pt idx="32">
                  <c:v>0.7355908289241623</c:v>
                </c:pt>
                <c:pt idx="33">
                  <c:v>0.7355908289241623</c:v>
                </c:pt>
                <c:pt idx="34">
                  <c:v>0.7355908289241623</c:v>
                </c:pt>
                <c:pt idx="35">
                  <c:v>0.7355908289241623</c:v>
                </c:pt>
                <c:pt idx="36">
                  <c:v>0.7355908289241623</c:v>
                </c:pt>
                <c:pt idx="37">
                  <c:v>0.7355908289241623</c:v>
                </c:pt>
                <c:pt idx="38">
                  <c:v>0.7355908289241623</c:v>
                </c:pt>
                <c:pt idx="39">
                  <c:v>0.7355908289241623</c:v>
                </c:pt>
                <c:pt idx="40">
                  <c:v>0.7355908289241623</c:v>
                </c:pt>
                <c:pt idx="41">
                  <c:v>0.7355908289241623</c:v>
                </c:pt>
                <c:pt idx="42">
                  <c:v>0.7355908289241623</c:v>
                </c:pt>
                <c:pt idx="43">
                  <c:v>0.7355908289241623</c:v>
                </c:pt>
                <c:pt idx="44">
                  <c:v>0.7355908289241623</c:v>
                </c:pt>
                <c:pt idx="45">
                  <c:v>0.7355908289241623</c:v>
                </c:pt>
                <c:pt idx="46">
                  <c:v>0.7355908289241623</c:v>
                </c:pt>
                <c:pt idx="47">
                  <c:v>0.7355908289241623</c:v>
                </c:pt>
                <c:pt idx="48">
                  <c:v>0.7355908289241623</c:v>
                </c:pt>
                <c:pt idx="49">
                  <c:v>0.7355908289241623</c:v>
                </c:pt>
                <c:pt idx="50">
                  <c:v>0.7355908289241623</c:v>
                </c:pt>
                <c:pt idx="51">
                  <c:v>0.7355908289241623</c:v>
                </c:pt>
                <c:pt idx="52">
                  <c:v>0.7355908289241623</c:v>
                </c:pt>
                <c:pt idx="53">
                  <c:v>0.7355908289241623</c:v>
                </c:pt>
                <c:pt idx="54">
                  <c:v>0.7355908289241623</c:v>
                </c:pt>
                <c:pt idx="55">
                  <c:v>0.7355908289241623</c:v>
                </c:pt>
                <c:pt idx="56">
                  <c:v>0.7355908289241623</c:v>
                </c:pt>
                <c:pt idx="57">
                  <c:v>0.7355908289241623</c:v>
                </c:pt>
                <c:pt idx="58">
                  <c:v>0.7355908289241623</c:v>
                </c:pt>
                <c:pt idx="59">
                  <c:v>0.7355908289241623</c:v>
                </c:pt>
                <c:pt idx="60">
                  <c:v>0.7355908289241623</c:v>
                </c:pt>
                <c:pt idx="61">
                  <c:v>0.7355908289241623</c:v>
                </c:pt>
                <c:pt idx="62">
                  <c:v>0.7355908289241623</c:v>
                </c:pt>
                <c:pt idx="63">
                  <c:v>0.7355908289241623</c:v>
                </c:pt>
                <c:pt idx="64">
                  <c:v>0.7355908289241623</c:v>
                </c:pt>
                <c:pt idx="65">
                  <c:v>0.7355908289241623</c:v>
                </c:pt>
                <c:pt idx="66">
                  <c:v>0.7355908289241623</c:v>
                </c:pt>
                <c:pt idx="67">
                  <c:v>0.7355908289241623</c:v>
                </c:pt>
                <c:pt idx="68">
                  <c:v>0.7355908289241623</c:v>
                </c:pt>
                <c:pt idx="69">
                  <c:v>0.7355908289241623</c:v>
                </c:pt>
                <c:pt idx="70">
                  <c:v>0.7355908289241623</c:v>
                </c:pt>
                <c:pt idx="71">
                  <c:v>0.7355908289241623</c:v>
                </c:pt>
                <c:pt idx="72">
                  <c:v>0.7355908289241623</c:v>
                </c:pt>
                <c:pt idx="73">
                  <c:v>0.7355908289241623</c:v>
                </c:pt>
                <c:pt idx="74">
                  <c:v>0.7355908289241623</c:v>
                </c:pt>
                <c:pt idx="75">
                  <c:v>0.7355908289241623</c:v>
                </c:pt>
                <c:pt idx="76">
                  <c:v>0.7355908289241623</c:v>
                </c:pt>
                <c:pt idx="77">
                  <c:v>0.7355908289241623</c:v>
                </c:pt>
                <c:pt idx="78">
                  <c:v>0.7355908289241623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Calculations!$N$4</c:f>
              <c:strCache>
                <c:ptCount val="1"/>
                <c:pt idx="0">
                  <c:v>Average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Calculations!$P$5:$P$83</c:f>
              <c:numCache>
                <c:ptCount val="79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</c:numCache>
            </c:numRef>
          </c:xVal>
          <c:yVal>
            <c:numRef>
              <c:f>Calculations!$N$5:$N$83</c:f>
              <c:numCache>
                <c:ptCount val="79"/>
                <c:pt idx="0">
                  <c:v>0.9550822784810126</c:v>
                </c:pt>
                <c:pt idx="1">
                  <c:v>0.9550822784810126</c:v>
                </c:pt>
                <c:pt idx="2">
                  <c:v>0.9550822784810126</c:v>
                </c:pt>
                <c:pt idx="3">
                  <c:v>0.9550822784810126</c:v>
                </c:pt>
                <c:pt idx="4">
                  <c:v>0.9550822784810126</c:v>
                </c:pt>
                <c:pt idx="5">
                  <c:v>0.9550822784810126</c:v>
                </c:pt>
                <c:pt idx="6">
                  <c:v>0.9550822784810126</c:v>
                </c:pt>
                <c:pt idx="7">
                  <c:v>0.9550822784810126</c:v>
                </c:pt>
                <c:pt idx="8">
                  <c:v>0.9550822784810126</c:v>
                </c:pt>
                <c:pt idx="9">
                  <c:v>0.9550822784810126</c:v>
                </c:pt>
                <c:pt idx="10">
                  <c:v>0.9550822784810126</c:v>
                </c:pt>
                <c:pt idx="11">
                  <c:v>0.9550822784810126</c:v>
                </c:pt>
                <c:pt idx="12">
                  <c:v>0.9550822784810126</c:v>
                </c:pt>
                <c:pt idx="13">
                  <c:v>0.9550822784810126</c:v>
                </c:pt>
                <c:pt idx="14">
                  <c:v>0.9550822784810126</c:v>
                </c:pt>
                <c:pt idx="15">
                  <c:v>0.9550822784810126</c:v>
                </c:pt>
                <c:pt idx="16">
                  <c:v>0.9550822784810126</c:v>
                </c:pt>
                <c:pt idx="17">
                  <c:v>0.9550822784810126</c:v>
                </c:pt>
                <c:pt idx="18">
                  <c:v>0.9550822784810126</c:v>
                </c:pt>
                <c:pt idx="19">
                  <c:v>0.9550822784810126</c:v>
                </c:pt>
                <c:pt idx="20">
                  <c:v>0.9550822784810126</c:v>
                </c:pt>
                <c:pt idx="21">
                  <c:v>0.9550822784810126</c:v>
                </c:pt>
                <c:pt idx="22">
                  <c:v>0.9550822784810126</c:v>
                </c:pt>
                <c:pt idx="23">
                  <c:v>0.9550822784810126</c:v>
                </c:pt>
                <c:pt idx="24">
                  <c:v>0.9550822784810126</c:v>
                </c:pt>
                <c:pt idx="25">
                  <c:v>0.9550822784810126</c:v>
                </c:pt>
                <c:pt idx="26">
                  <c:v>0.9550822784810126</c:v>
                </c:pt>
                <c:pt idx="27">
                  <c:v>0.9550822784810126</c:v>
                </c:pt>
                <c:pt idx="28">
                  <c:v>0.9550822784810126</c:v>
                </c:pt>
                <c:pt idx="29">
                  <c:v>0.9550822784810126</c:v>
                </c:pt>
                <c:pt idx="30">
                  <c:v>0.9550822784810126</c:v>
                </c:pt>
                <c:pt idx="31">
                  <c:v>0.9550822784810126</c:v>
                </c:pt>
                <c:pt idx="32">
                  <c:v>0.9550822784810126</c:v>
                </c:pt>
                <c:pt idx="33">
                  <c:v>0.9550822784810126</c:v>
                </c:pt>
                <c:pt idx="34">
                  <c:v>0.9550822784810126</c:v>
                </c:pt>
                <c:pt idx="35">
                  <c:v>0.9550822784810126</c:v>
                </c:pt>
                <c:pt idx="36">
                  <c:v>0.9550822784810126</c:v>
                </c:pt>
                <c:pt idx="37">
                  <c:v>0.9550822784810126</c:v>
                </c:pt>
                <c:pt idx="38">
                  <c:v>0.9550822784810126</c:v>
                </c:pt>
                <c:pt idx="39">
                  <c:v>0.9550822784810126</c:v>
                </c:pt>
                <c:pt idx="40">
                  <c:v>0.9550822784810126</c:v>
                </c:pt>
                <c:pt idx="41">
                  <c:v>0.9550822784810126</c:v>
                </c:pt>
                <c:pt idx="42">
                  <c:v>0.9550822784810126</c:v>
                </c:pt>
                <c:pt idx="43">
                  <c:v>0.9550822784810126</c:v>
                </c:pt>
                <c:pt idx="44">
                  <c:v>0.9550822784810126</c:v>
                </c:pt>
                <c:pt idx="45">
                  <c:v>0.9550822784810126</c:v>
                </c:pt>
                <c:pt idx="46">
                  <c:v>0.9550822784810126</c:v>
                </c:pt>
                <c:pt idx="47">
                  <c:v>0.9550822784810126</c:v>
                </c:pt>
                <c:pt idx="48">
                  <c:v>0.9550822784810126</c:v>
                </c:pt>
                <c:pt idx="49">
                  <c:v>0.9550822784810126</c:v>
                </c:pt>
                <c:pt idx="50">
                  <c:v>0.9550822784810126</c:v>
                </c:pt>
                <c:pt idx="51">
                  <c:v>0.9550822784810126</c:v>
                </c:pt>
                <c:pt idx="52">
                  <c:v>0.9550822784810126</c:v>
                </c:pt>
                <c:pt idx="53">
                  <c:v>0.9550822784810126</c:v>
                </c:pt>
                <c:pt idx="54">
                  <c:v>0.9550822784810126</c:v>
                </c:pt>
                <c:pt idx="55">
                  <c:v>0.9550822784810126</c:v>
                </c:pt>
                <c:pt idx="56">
                  <c:v>0.9550822784810126</c:v>
                </c:pt>
                <c:pt idx="57">
                  <c:v>0.9550822784810126</c:v>
                </c:pt>
                <c:pt idx="58">
                  <c:v>0.9550822784810126</c:v>
                </c:pt>
                <c:pt idx="59">
                  <c:v>0.9550822784810126</c:v>
                </c:pt>
                <c:pt idx="60">
                  <c:v>0.9550822784810126</c:v>
                </c:pt>
                <c:pt idx="61">
                  <c:v>0.9550822784810126</c:v>
                </c:pt>
                <c:pt idx="62">
                  <c:v>0.9550822784810126</c:v>
                </c:pt>
                <c:pt idx="63">
                  <c:v>0.9550822784810126</c:v>
                </c:pt>
                <c:pt idx="64">
                  <c:v>0.9550822784810126</c:v>
                </c:pt>
                <c:pt idx="65">
                  <c:v>0.9550822784810126</c:v>
                </c:pt>
                <c:pt idx="66">
                  <c:v>0.9550822784810126</c:v>
                </c:pt>
                <c:pt idx="67">
                  <c:v>0.9550822784810126</c:v>
                </c:pt>
                <c:pt idx="68">
                  <c:v>0.9550822784810126</c:v>
                </c:pt>
                <c:pt idx="69">
                  <c:v>0.9550822784810126</c:v>
                </c:pt>
                <c:pt idx="70">
                  <c:v>0.9550822784810126</c:v>
                </c:pt>
                <c:pt idx="71">
                  <c:v>0.9550822784810126</c:v>
                </c:pt>
                <c:pt idx="72">
                  <c:v>0.9550822784810126</c:v>
                </c:pt>
                <c:pt idx="73">
                  <c:v>0.9550822784810126</c:v>
                </c:pt>
                <c:pt idx="74">
                  <c:v>0.9550822784810126</c:v>
                </c:pt>
                <c:pt idx="75">
                  <c:v>0.9550822784810126</c:v>
                </c:pt>
                <c:pt idx="76">
                  <c:v>0.9550822784810126</c:v>
                </c:pt>
                <c:pt idx="77">
                  <c:v>0.9550822784810126</c:v>
                </c:pt>
                <c:pt idx="78">
                  <c:v>0.9550822784810126</c:v>
                </c:pt>
              </c:numCache>
            </c:numRef>
          </c:yVal>
          <c:smooth val="0"/>
        </c:ser>
        <c:ser>
          <c:idx val="5"/>
          <c:order val="4"/>
          <c:tx>
            <c:v>Moving Average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Calculations!$P$10:$P$78</c:f>
              <c:numCache>
                <c:ptCount val="69"/>
                <c:pt idx="0">
                  <c:v>198.68354430379745</c:v>
                </c:pt>
                <c:pt idx="1">
                  <c:v>231.79746835443035</c:v>
                </c:pt>
                <c:pt idx="2">
                  <c:v>264.9113924050633</c:v>
                </c:pt>
                <c:pt idx="3">
                  <c:v>298.0253164556962</c:v>
                </c:pt>
                <c:pt idx="4">
                  <c:v>331.13924050632914</c:v>
                </c:pt>
                <c:pt idx="5">
                  <c:v>364.2531645569621</c:v>
                </c:pt>
                <c:pt idx="6">
                  <c:v>397.367088607595</c:v>
                </c:pt>
                <c:pt idx="7">
                  <c:v>430.48101265822794</c:v>
                </c:pt>
                <c:pt idx="8">
                  <c:v>463.59493670886087</c:v>
                </c:pt>
                <c:pt idx="9">
                  <c:v>496.7088607594938</c:v>
                </c:pt>
                <c:pt idx="10">
                  <c:v>529.8227848101267</c:v>
                </c:pt>
                <c:pt idx="11">
                  <c:v>562.9367088607596</c:v>
                </c:pt>
                <c:pt idx="12">
                  <c:v>596.0506329113925</c:v>
                </c:pt>
                <c:pt idx="13">
                  <c:v>629.1645569620255</c:v>
                </c:pt>
                <c:pt idx="14">
                  <c:v>662.2784810126584</c:v>
                </c:pt>
                <c:pt idx="15">
                  <c:v>695.3924050632913</c:v>
                </c:pt>
                <c:pt idx="16">
                  <c:v>728.5063291139243</c:v>
                </c:pt>
                <c:pt idx="17">
                  <c:v>761.6202531645572</c:v>
                </c:pt>
                <c:pt idx="18">
                  <c:v>794.7341772151901</c:v>
                </c:pt>
                <c:pt idx="19">
                  <c:v>827.8481012658231</c:v>
                </c:pt>
                <c:pt idx="20">
                  <c:v>860.962025316456</c:v>
                </c:pt>
                <c:pt idx="21">
                  <c:v>894.0759493670889</c:v>
                </c:pt>
                <c:pt idx="22">
                  <c:v>927.1898734177219</c:v>
                </c:pt>
                <c:pt idx="23">
                  <c:v>960.3037974683548</c:v>
                </c:pt>
                <c:pt idx="24">
                  <c:v>993.4177215189877</c:v>
                </c:pt>
                <c:pt idx="25">
                  <c:v>1026.5316455696207</c:v>
                </c:pt>
                <c:pt idx="26">
                  <c:v>1059.6455696202536</c:v>
                </c:pt>
                <c:pt idx="27">
                  <c:v>1092.7594936708865</c:v>
                </c:pt>
                <c:pt idx="28">
                  <c:v>1125.8734177215194</c:v>
                </c:pt>
                <c:pt idx="29">
                  <c:v>1158.9873417721524</c:v>
                </c:pt>
                <c:pt idx="30">
                  <c:v>1192.1012658227853</c:v>
                </c:pt>
                <c:pt idx="31">
                  <c:v>1225.2151898734182</c:v>
                </c:pt>
                <c:pt idx="32">
                  <c:v>1258.3291139240512</c:v>
                </c:pt>
                <c:pt idx="33">
                  <c:v>1291.443037974684</c:v>
                </c:pt>
                <c:pt idx="34">
                  <c:v>1324.556962025317</c:v>
                </c:pt>
                <c:pt idx="35">
                  <c:v>1357.67088607595</c:v>
                </c:pt>
                <c:pt idx="36">
                  <c:v>1390.784810126583</c:v>
                </c:pt>
                <c:pt idx="37">
                  <c:v>1423.8987341772158</c:v>
                </c:pt>
                <c:pt idx="38">
                  <c:v>1457.0126582278488</c:v>
                </c:pt>
                <c:pt idx="39">
                  <c:v>1490.1265822784817</c:v>
                </c:pt>
                <c:pt idx="40">
                  <c:v>1523.2405063291146</c:v>
                </c:pt>
                <c:pt idx="41">
                  <c:v>1556.3544303797476</c:v>
                </c:pt>
                <c:pt idx="42">
                  <c:v>1589.4683544303805</c:v>
                </c:pt>
                <c:pt idx="43">
                  <c:v>1622.5822784810134</c:v>
                </c:pt>
                <c:pt idx="44">
                  <c:v>1655.6962025316463</c:v>
                </c:pt>
                <c:pt idx="45">
                  <c:v>1688.8101265822793</c:v>
                </c:pt>
                <c:pt idx="46">
                  <c:v>1721.9240506329122</c:v>
                </c:pt>
                <c:pt idx="47">
                  <c:v>1755.0379746835451</c:v>
                </c:pt>
                <c:pt idx="48">
                  <c:v>1788.151898734178</c:v>
                </c:pt>
                <c:pt idx="49">
                  <c:v>1821.265822784811</c:v>
                </c:pt>
                <c:pt idx="50">
                  <c:v>1854.379746835444</c:v>
                </c:pt>
                <c:pt idx="51">
                  <c:v>1887.4936708860769</c:v>
                </c:pt>
                <c:pt idx="52">
                  <c:v>1920.6075949367098</c:v>
                </c:pt>
                <c:pt idx="53">
                  <c:v>1953.7215189873427</c:v>
                </c:pt>
                <c:pt idx="54">
                  <c:v>1986.8354430379757</c:v>
                </c:pt>
                <c:pt idx="55">
                  <c:v>2019.9493670886086</c:v>
                </c:pt>
                <c:pt idx="56">
                  <c:v>2053.0632911392413</c:v>
                </c:pt>
                <c:pt idx="57">
                  <c:v>2086.177215189874</c:v>
                </c:pt>
                <c:pt idx="58">
                  <c:v>2119.2911392405067</c:v>
                </c:pt>
                <c:pt idx="59">
                  <c:v>2152.4050632911394</c:v>
                </c:pt>
                <c:pt idx="60">
                  <c:v>2185.518987341772</c:v>
                </c:pt>
                <c:pt idx="61">
                  <c:v>2218.632911392405</c:v>
                </c:pt>
                <c:pt idx="62">
                  <c:v>2251.7468354430375</c:v>
                </c:pt>
                <c:pt idx="63">
                  <c:v>2284.8607594936702</c:v>
                </c:pt>
                <c:pt idx="64">
                  <c:v>2317.974683544303</c:v>
                </c:pt>
                <c:pt idx="65">
                  <c:v>2351.0886075949356</c:v>
                </c:pt>
                <c:pt idx="66">
                  <c:v>2384.2025316455683</c:v>
                </c:pt>
                <c:pt idx="67">
                  <c:v>2417.316455696201</c:v>
                </c:pt>
                <c:pt idx="68">
                  <c:v>2450.4303797468338</c:v>
                </c:pt>
              </c:numCache>
            </c:numRef>
          </c:xVal>
          <c:yVal>
            <c:numRef>
              <c:f>Calculations!$O$10:$O$78</c:f>
              <c:numCache>
                <c:ptCount val="69"/>
                <c:pt idx="0">
                  <c:v>0.7160000000000001</c:v>
                </c:pt>
                <c:pt idx="1">
                  <c:v>0.7420000000000001</c:v>
                </c:pt>
                <c:pt idx="2">
                  <c:v>0.7700000000000001</c:v>
                </c:pt>
                <c:pt idx="3">
                  <c:v>0.7380000000000002</c:v>
                </c:pt>
                <c:pt idx="4">
                  <c:v>0.7320000000000001</c:v>
                </c:pt>
                <c:pt idx="5">
                  <c:v>0.748</c:v>
                </c:pt>
                <c:pt idx="6">
                  <c:v>0.758</c:v>
                </c:pt>
                <c:pt idx="7">
                  <c:v>0.7380000000000001</c:v>
                </c:pt>
                <c:pt idx="8">
                  <c:v>0.74</c:v>
                </c:pt>
                <c:pt idx="9">
                  <c:v>0.766</c:v>
                </c:pt>
                <c:pt idx="10">
                  <c:v>0.774</c:v>
                </c:pt>
                <c:pt idx="11">
                  <c:v>0.8240000000000002</c:v>
                </c:pt>
                <c:pt idx="12">
                  <c:v>0.8480000000000001</c:v>
                </c:pt>
                <c:pt idx="13">
                  <c:v>0.8560000000000001</c:v>
                </c:pt>
                <c:pt idx="14">
                  <c:v>0.8720000000000001</c:v>
                </c:pt>
                <c:pt idx="15">
                  <c:v>0.898</c:v>
                </c:pt>
                <c:pt idx="16">
                  <c:v>0.9099999999999999</c:v>
                </c:pt>
                <c:pt idx="17">
                  <c:v>0.966</c:v>
                </c:pt>
                <c:pt idx="18">
                  <c:v>0.9880000000000001</c:v>
                </c:pt>
                <c:pt idx="19">
                  <c:v>1</c:v>
                </c:pt>
                <c:pt idx="20">
                  <c:v>0.998</c:v>
                </c:pt>
                <c:pt idx="21">
                  <c:v>0.9959999999999999</c:v>
                </c:pt>
                <c:pt idx="22">
                  <c:v>0.9899999999999999</c:v>
                </c:pt>
                <c:pt idx="23">
                  <c:v>1.0239999999999998</c:v>
                </c:pt>
                <c:pt idx="24">
                  <c:v>1.034</c:v>
                </c:pt>
                <c:pt idx="25">
                  <c:v>1.0379999999999998</c:v>
                </c:pt>
                <c:pt idx="26">
                  <c:v>1.0379999999999998</c:v>
                </c:pt>
                <c:pt idx="27">
                  <c:v>1.0379999999999998</c:v>
                </c:pt>
                <c:pt idx="28">
                  <c:v>0.9700000000000001</c:v>
                </c:pt>
                <c:pt idx="29">
                  <c:v>0.9560000000000001</c:v>
                </c:pt>
                <c:pt idx="30">
                  <c:v>0.9760000000000002</c:v>
                </c:pt>
                <c:pt idx="31">
                  <c:v>0.9640000000000001</c:v>
                </c:pt>
                <c:pt idx="32">
                  <c:v>0.958</c:v>
                </c:pt>
                <c:pt idx="33">
                  <c:v>0.95</c:v>
                </c:pt>
                <c:pt idx="34">
                  <c:v>0.95</c:v>
                </c:pt>
                <c:pt idx="35">
                  <c:v>0.9620000000000001</c:v>
                </c:pt>
                <c:pt idx="36">
                  <c:v>0.966</c:v>
                </c:pt>
                <c:pt idx="37">
                  <c:v>0.9820000000000002</c:v>
                </c:pt>
                <c:pt idx="38">
                  <c:v>1.0800000000000003</c:v>
                </c:pt>
                <c:pt idx="39">
                  <c:v>1.082</c:v>
                </c:pt>
                <c:pt idx="40">
                  <c:v>1.0699999999999998</c:v>
                </c:pt>
                <c:pt idx="41">
                  <c:v>1.076</c:v>
                </c:pt>
                <c:pt idx="42">
                  <c:v>1.0879999999999999</c:v>
                </c:pt>
                <c:pt idx="43">
                  <c:v>1.092</c:v>
                </c:pt>
                <c:pt idx="44">
                  <c:v>1.0979999999999999</c:v>
                </c:pt>
                <c:pt idx="45">
                  <c:v>1.0960000000000003</c:v>
                </c:pt>
                <c:pt idx="46">
                  <c:v>1.084</c:v>
                </c:pt>
                <c:pt idx="47">
                  <c:v>1.076</c:v>
                </c:pt>
                <c:pt idx="48">
                  <c:v>1.0379999999999998</c:v>
                </c:pt>
                <c:pt idx="49">
                  <c:v>1.026</c:v>
                </c:pt>
                <c:pt idx="50">
                  <c:v>1.098</c:v>
                </c:pt>
                <c:pt idx="51">
                  <c:v>1.088</c:v>
                </c:pt>
                <c:pt idx="52">
                  <c:v>1.068</c:v>
                </c:pt>
                <c:pt idx="53">
                  <c:v>1.054</c:v>
                </c:pt>
                <c:pt idx="54">
                  <c:v>1.038</c:v>
                </c:pt>
                <c:pt idx="55">
                  <c:v>1.006</c:v>
                </c:pt>
                <c:pt idx="56">
                  <c:v>1.006</c:v>
                </c:pt>
                <c:pt idx="57">
                  <c:v>0.982</c:v>
                </c:pt>
                <c:pt idx="58">
                  <c:v>0.9860000000000001</c:v>
                </c:pt>
                <c:pt idx="59">
                  <c:v>0.9760000000000002</c:v>
                </c:pt>
                <c:pt idx="60">
                  <c:v>0.8880000000000001</c:v>
                </c:pt>
                <c:pt idx="61">
                  <c:v>0.884</c:v>
                </c:pt>
                <c:pt idx="62">
                  <c:v>0.8879999999999999</c:v>
                </c:pt>
                <c:pt idx="63">
                  <c:v>0.874</c:v>
                </c:pt>
                <c:pt idx="64">
                  <c:v>0.8700000000000001</c:v>
                </c:pt>
                <c:pt idx="65">
                  <c:v>0.8720000000000001</c:v>
                </c:pt>
                <c:pt idx="66">
                  <c:v>0.8619999999999999</c:v>
                </c:pt>
                <c:pt idx="67">
                  <c:v>0.868</c:v>
                </c:pt>
                <c:pt idx="68">
                  <c:v>0.8399999999999999</c:v>
                </c:pt>
              </c:numCache>
            </c:numRef>
          </c:yVal>
          <c:smooth val="1"/>
        </c:ser>
        <c:ser>
          <c:idx val="6"/>
          <c:order val="5"/>
          <c:tx>
            <c:strRef>
              <c:f>Calculations!$H$4</c:f>
              <c:strCache>
                <c:ptCount val="1"/>
                <c:pt idx="0">
                  <c:v>Tower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Calculations!$P$5:$P$85</c:f>
              <c:numCache>
                <c:ptCount val="81"/>
                <c:pt idx="0">
                  <c:v>33.11392405063291</c:v>
                </c:pt>
                <c:pt idx="1">
                  <c:v>66.22784810126582</c:v>
                </c:pt>
                <c:pt idx="2">
                  <c:v>99.34177215189874</c:v>
                </c:pt>
                <c:pt idx="3">
                  <c:v>132.45569620253164</c:v>
                </c:pt>
                <c:pt idx="4">
                  <c:v>165.56962025316454</c:v>
                </c:pt>
                <c:pt idx="5">
                  <c:v>198.68354430379745</c:v>
                </c:pt>
                <c:pt idx="6">
                  <c:v>231.79746835443035</c:v>
                </c:pt>
                <c:pt idx="7">
                  <c:v>264.9113924050633</c:v>
                </c:pt>
                <c:pt idx="8">
                  <c:v>298.0253164556962</c:v>
                </c:pt>
                <c:pt idx="9">
                  <c:v>331.13924050632914</c:v>
                </c:pt>
                <c:pt idx="10">
                  <c:v>364.2531645569621</c:v>
                </c:pt>
                <c:pt idx="11">
                  <c:v>397.367088607595</c:v>
                </c:pt>
                <c:pt idx="12">
                  <c:v>430.48101265822794</c:v>
                </c:pt>
                <c:pt idx="13">
                  <c:v>463.59493670886087</c:v>
                </c:pt>
                <c:pt idx="14">
                  <c:v>496.7088607594938</c:v>
                </c:pt>
                <c:pt idx="15">
                  <c:v>529.8227848101267</c:v>
                </c:pt>
                <c:pt idx="16">
                  <c:v>562.9367088607596</c:v>
                </c:pt>
                <c:pt idx="17">
                  <c:v>596.0506329113925</c:v>
                </c:pt>
                <c:pt idx="18">
                  <c:v>629.1645569620255</c:v>
                </c:pt>
                <c:pt idx="19">
                  <c:v>662.2784810126584</c:v>
                </c:pt>
                <c:pt idx="20">
                  <c:v>695.3924050632913</c:v>
                </c:pt>
                <c:pt idx="21">
                  <c:v>728.5063291139243</c:v>
                </c:pt>
                <c:pt idx="22">
                  <c:v>761.6202531645572</c:v>
                </c:pt>
                <c:pt idx="23">
                  <c:v>794.7341772151901</c:v>
                </c:pt>
                <c:pt idx="24">
                  <c:v>827.8481012658231</c:v>
                </c:pt>
                <c:pt idx="25">
                  <c:v>860.962025316456</c:v>
                </c:pt>
                <c:pt idx="26">
                  <c:v>894.0759493670889</c:v>
                </c:pt>
                <c:pt idx="27">
                  <c:v>927.1898734177219</c:v>
                </c:pt>
                <c:pt idx="28">
                  <c:v>960.3037974683548</c:v>
                </c:pt>
                <c:pt idx="29">
                  <c:v>993.4177215189877</c:v>
                </c:pt>
                <c:pt idx="30">
                  <c:v>1026.5316455696207</c:v>
                </c:pt>
                <c:pt idx="31">
                  <c:v>1059.6455696202536</c:v>
                </c:pt>
                <c:pt idx="32">
                  <c:v>1092.7594936708865</c:v>
                </c:pt>
                <c:pt idx="33">
                  <c:v>1125.8734177215194</c:v>
                </c:pt>
                <c:pt idx="34">
                  <c:v>1158.9873417721524</c:v>
                </c:pt>
                <c:pt idx="35">
                  <c:v>1192.1012658227853</c:v>
                </c:pt>
                <c:pt idx="36">
                  <c:v>1225.2151898734182</c:v>
                </c:pt>
                <c:pt idx="37">
                  <c:v>1258.3291139240512</c:v>
                </c:pt>
                <c:pt idx="38">
                  <c:v>1291.443037974684</c:v>
                </c:pt>
                <c:pt idx="39">
                  <c:v>1324.556962025317</c:v>
                </c:pt>
                <c:pt idx="40">
                  <c:v>1357.67088607595</c:v>
                </c:pt>
                <c:pt idx="41">
                  <c:v>1390.784810126583</c:v>
                </c:pt>
                <c:pt idx="42">
                  <c:v>1423.8987341772158</c:v>
                </c:pt>
                <c:pt idx="43">
                  <c:v>1457.0126582278488</c:v>
                </c:pt>
                <c:pt idx="44">
                  <c:v>1490.1265822784817</c:v>
                </c:pt>
                <c:pt idx="45">
                  <c:v>1523.2405063291146</c:v>
                </c:pt>
                <c:pt idx="46">
                  <c:v>1556.3544303797476</c:v>
                </c:pt>
                <c:pt idx="47">
                  <c:v>1589.4683544303805</c:v>
                </c:pt>
                <c:pt idx="48">
                  <c:v>1622.5822784810134</c:v>
                </c:pt>
                <c:pt idx="49">
                  <c:v>1655.6962025316463</c:v>
                </c:pt>
                <c:pt idx="50">
                  <c:v>1688.8101265822793</c:v>
                </c:pt>
                <c:pt idx="51">
                  <c:v>1721.9240506329122</c:v>
                </c:pt>
                <c:pt idx="52">
                  <c:v>1755.0379746835451</c:v>
                </c:pt>
                <c:pt idx="53">
                  <c:v>1788.151898734178</c:v>
                </c:pt>
                <c:pt idx="54">
                  <c:v>1821.265822784811</c:v>
                </c:pt>
                <c:pt idx="55">
                  <c:v>1854.379746835444</c:v>
                </c:pt>
                <c:pt idx="56">
                  <c:v>1887.4936708860769</c:v>
                </c:pt>
                <c:pt idx="57">
                  <c:v>1920.6075949367098</c:v>
                </c:pt>
                <c:pt idx="58">
                  <c:v>1953.7215189873427</c:v>
                </c:pt>
                <c:pt idx="59">
                  <c:v>1986.8354430379757</c:v>
                </c:pt>
                <c:pt idx="60">
                  <c:v>2019.9493670886086</c:v>
                </c:pt>
                <c:pt idx="61">
                  <c:v>2053.0632911392413</c:v>
                </c:pt>
                <c:pt idx="62">
                  <c:v>2086.177215189874</c:v>
                </c:pt>
                <c:pt idx="63">
                  <c:v>2119.2911392405067</c:v>
                </c:pt>
                <c:pt idx="64">
                  <c:v>2152.4050632911394</c:v>
                </c:pt>
                <c:pt idx="65">
                  <c:v>2185.518987341772</c:v>
                </c:pt>
                <c:pt idx="66">
                  <c:v>2218.632911392405</c:v>
                </c:pt>
                <c:pt idx="67">
                  <c:v>2251.7468354430375</c:v>
                </c:pt>
                <c:pt idx="68">
                  <c:v>2284.8607594936702</c:v>
                </c:pt>
                <c:pt idx="69">
                  <c:v>2317.974683544303</c:v>
                </c:pt>
                <c:pt idx="70">
                  <c:v>2351.0886075949356</c:v>
                </c:pt>
                <c:pt idx="71">
                  <c:v>2384.2025316455683</c:v>
                </c:pt>
                <c:pt idx="72">
                  <c:v>2417.316455696201</c:v>
                </c:pt>
                <c:pt idx="73">
                  <c:v>2450.4303797468338</c:v>
                </c:pt>
                <c:pt idx="74">
                  <c:v>2483.5443037974665</c:v>
                </c:pt>
                <c:pt idx="75">
                  <c:v>2516.658227848099</c:v>
                </c:pt>
                <c:pt idx="76">
                  <c:v>2549.772151898732</c:v>
                </c:pt>
                <c:pt idx="77">
                  <c:v>2582.8860759493646</c:v>
                </c:pt>
                <c:pt idx="78">
                  <c:v>2615.9999999999973</c:v>
                </c:pt>
                <c:pt idx="79">
                  <c:v>2649.11392405063</c:v>
                </c:pt>
                <c:pt idx="80">
                  <c:v>2682.2278481012627</c:v>
                </c:pt>
              </c:numCache>
            </c:numRef>
          </c:xVal>
          <c:yVal>
            <c:numRef>
              <c:f>Calculations!$H$5:$H$85</c:f>
              <c:numCache>
                <c:ptCount val="81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0.05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0.05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0.05</c:v>
                </c:pt>
                <c:pt idx="13">
                  <c:v>-1</c:v>
                </c:pt>
                <c:pt idx="14">
                  <c:v>-1</c:v>
                </c:pt>
                <c:pt idx="15">
                  <c:v>-1</c:v>
                </c:pt>
                <c:pt idx="16">
                  <c:v>0.05</c:v>
                </c:pt>
                <c:pt idx="17">
                  <c:v>-1</c:v>
                </c:pt>
                <c:pt idx="18">
                  <c:v>-1</c:v>
                </c:pt>
                <c:pt idx="19">
                  <c:v>-1</c:v>
                </c:pt>
                <c:pt idx="20">
                  <c:v>0.05</c:v>
                </c:pt>
                <c:pt idx="21">
                  <c:v>-1</c:v>
                </c:pt>
                <c:pt idx="22">
                  <c:v>-1</c:v>
                </c:pt>
                <c:pt idx="23">
                  <c:v>-1</c:v>
                </c:pt>
                <c:pt idx="24">
                  <c:v>0.05</c:v>
                </c:pt>
                <c:pt idx="25">
                  <c:v>-1</c:v>
                </c:pt>
                <c:pt idx="26">
                  <c:v>-1</c:v>
                </c:pt>
                <c:pt idx="27">
                  <c:v>-1</c:v>
                </c:pt>
                <c:pt idx="28">
                  <c:v>0.05</c:v>
                </c:pt>
                <c:pt idx="29">
                  <c:v>-1</c:v>
                </c:pt>
                <c:pt idx="30">
                  <c:v>-1</c:v>
                </c:pt>
                <c:pt idx="31">
                  <c:v>-1</c:v>
                </c:pt>
                <c:pt idx="32">
                  <c:v>0.05</c:v>
                </c:pt>
                <c:pt idx="33">
                  <c:v>-1</c:v>
                </c:pt>
                <c:pt idx="34">
                  <c:v>-1</c:v>
                </c:pt>
                <c:pt idx="35">
                  <c:v>-1</c:v>
                </c:pt>
                <c:pt idx="36">
                  <c:v>-1</c:v>
                </c:pt>
                <c:pt idx="37">
                  <c:v>0.05</c:v>
                </c:pt>
                <c:pt idx="38">
                  <c:v>-1</c:v>
                </c:pt>
                <c:pt idx="39">
                  <c:v>-1</c:v>
                </c:pt>
                <c:pt idx="40">
                  <c:v>-1</c:v>
                </c:pt>
                <c:pt idx="41">
                  <c:v>-1</c:v>
                </c:pt>
                <c:pt idx="42">
                  <c:v>0.05</c:v>
                </c:pt>
                <c:pt idx="43">
                  <c:v>-1</c:v>
                </c:pt>
                <c:pt idx="44">
                  <c:v>-1</c:v>
                </c:pt>
                <c:pt idx="45">
                  <c:v>-1</c:v>
                </c:pt>
                <c:pt idx="46">
                  <c:v>-1</c:v>
                </c:pt>
                <c:pt idx="47">
                  <c:v>0.05</c:v>
                </c:pt>
                <c:pt idx="48">
                  <c:v>-1</c:v>
                </c:pt>
                <c:pt idx="49">
                  <c:v>-1</c:v>
                </c:pt>
                <c:pt idx="50">
                  <c:v>-1</c:v>
                </c:pt>
                <c:pt idx="51">
                  <c:v>0.05</c:v>
                </c:pt>
                <c:pt idx="52">
                  <c:v>-1</c:v>
                </c:pt>
                <c:pt idx="53">
                  <c:v>-1</c:v>
                </c:pt>
                <c:pt idx="54">
                  <c:v>-1</c:v>
                </c:pt>
                <c:pt idx="55">
                  <c:v>-1</c:v>
                </c:pt>
                <c:pt idx="56">
                  <c:v>0.05</c:v>
                </c:pt>
                <c:pt idx="57">
                  <c:v>-1</c:v>
                </c:pt>
                <c:pt idx="58">
                  <c:v>-1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0.05</c:v>
                </c:pt>
                <c:pt idx="63">
                  <c:v>-1</c:v>
                </c:pt>
                <c:pt idx="64">
                  <c:v>-1</c:v>
                </c:pt>
                <c:pt idx="65">
                  <c:v>-1</c:v>
                </c:pt>
                <c:pt idx="66">
                  <c:v>-1</c:v>
                </c:pt>
                <c:pt idx="67">
                  <c:v>0.05</c:v>
                </c:pt>
                <c:pt idx="68">
                  <c:v>-1</c:v>
                </c:pt>
                <c:pt idx="69">
                  <c:v>-1</c:v>
                </c:pt>
                <c:pt idx="70">
                  <c:v>-1</c:v>
                </c:pt>
                <c:pt idx="71">
                  <c:v>-1</c:v>
                </c:pt>
                <c:pt idx="72">
                  <c:v>-1</c:v>
                </c:pt>
                <c:pt idx="73">
                  <c:v>0.05</c:v>
                </c:pt>
                <c:pt idx="74">
                  <c:v>-1</c:v>
                </c:pt>
                <c:pt idx="75">
                  <c:v>-1</c:v>
                </c:pt>
                <c:pt idx="76">
                  <c:v>-1</c:v>
                </c:pt>
                <c:pt idx="77">
                  <c:v>-1</c:v>
                </c:pt>
                <c:pt idx="78">
                  <c:v>0.05</c:v>
                </c:pt>
                <c:pt idx="79">
                  <c:v>-1</c:v>
                </c:pt>
                <c:pt idx="80">
                  <c:v>-1</c:v>
                </c:pt>
              </c:numCache>
            </c:numRef>
          </c:yVal>
          <c:smooth val="0"/>
        </c:ser>
        <c:axId val="62109301"/>
        <c:axId val="22112798"/>
      </c:scatterChart>
      <c:valAx>
        <c:axId val="62109301"/>
        <c:scaling>
          <c:orientation val="minMax"/>
          <c:max val="26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Distance from Pivot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2112798"/>
        <c:crosses val="autoZero"/>
        <c:crossBetween val="midCat"/>
        <c:dispUnits/>
      </c:valAx>
      <c:valAx>
        <c:axId val="221127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Catch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2109301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33"/>
          <c:y val="0.90425"/>
        </c:manualLayout>
      </c:layout>
      <c:overlay val="0"/>
      <c:txPr>
        <a:bodyPr vert="horz" rot="0"/>
        <a:lstStyle/>
        <a:p>
          <a:pPr>
            <a:defRPr lang="en-US" cap="none" sz="8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104775</xdr:rowOff>
    </xdr:from>
    <xdr:to>
      <xdr:col>11</xdr:col>
      <xdr:colOff>95250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209550" y="104775"/>
        <a:ext cx="65913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7</xdr:row>
      <xdr:rowOff>0</xdr:rowOff>
    </xdr:from>
    <xdr:to>
      <xdr:col>26</xdr:col>
      <xdr:colOff>542925</xdr:colOff>
      <xdr:row>30</xdr:row>
      <xdr:rowOff>19050</xdr:rowOff>
    </xdr:to>
    <xdr:graphicFrame>
      <xdr:nvGraphicFramePr>
        <xdr:cNvPr id="1" name="Chart 2"/>
        <xdr:cNvGraphicFramePr/>
      </xdr:nvGraphicFramePr>
      <xdr:xfrm>
        <a:off x="11763375" y="1476375"/>
        <a:ext cx="5419725" cy="4752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workbookViewId="0" topLeftCell="A1">
      <selection activeCell="B2" sqref="B2"/>
    </sheetView>
  </sheetViews>
  <sheetFormatPr defaultColWidth="9.140625" defaultRowHeight="12.75"/>
  <cols>
    <col min="1" max="1" width="27.8515625" style="2" bestFit="1" customWidth="1"/>
    <col min="2" max="2" width="19.00390625" style="2" customWidth="1"/>
    <col min="3" max="16384" width="9.140625" style="2" customWidth="1"/>
  </cols>
  <sheetData>
    <row r="1" ht="18.75">
      <c r="A1" s="1" t="s">
        <v>0</v>
      </c>
    </row>
    <row r="2" ht="18.75">
      <c r="A2" s="1" t="s">
        <v>1</v>
      </c>
    </row>
    <row r="4" spans="1:2" ht="15.75">
      <c r="A4" s="2" t="s">
        <v>2</v>
      </c>
      <c r="B4" s="9" t="s">
        <v>169</v>
      </c>
    </row>
    <row r="5" spans="1:2" ht="15.75">
      <c r="A5" s="2" t="s">
        <v>3</v>
      </c>
      <c r="B5" s="10">
        <v>36203</v>
      </c>
    </row>
    <row r="6" spans="1:2" ht="15.75">
      <c r="A6" s="2" t="s">
        <v>5</v>
      </c>
      <c r="B6" s="11" t="s">
        <v>165</v>
      </c>
    </row>
    <row r="7" spans="1:2" ht="15.75">
      <c r="A7" s="2" t="s">
        <v>4</v>
      </c>
      <c r="B7" s="11" t="s">
        <v>153</v>
      </c>
    </row>
    <row r="8" spans="1:2" ht="15.75">
      <c r="A8" s="2" t="s">
        <v>6</v>
      </c>
      <c r="B8" s="11" t="s">
        <v>166</v>
      </c>
    </row>
    <row r="9" ht="15.75">
      <c r="B9" s="11"/>
    </row>
    <row r="10" spans="1:2" ht="15.75">
      <c r="A10" s="2" t="s">
        <v>7</v>
      </c>
      <c r="B10" s="11" t="s">
        <v>168</v>
      </c>
    </row>
    <row r="11" spans="1:2" ht="15.75">
      <c r="A11" s="2" t="s">
        <v>15</v>
      </c>
      <c r="B11" s="11" t="s">
        <v>170</v>
      </c>
    </row>
    <row r="12" spans="1:2" ht="15.75">
      <c r="A12" s="2" t="s">
        <v>8</v>
      </c>
      <c r="B12" s="11">
        <v>17</v>
      </c>
    </row>
    <row r="13" spans="1:2" ht="15.75">
      <c r="A13" s="2" t="s">
        <v>9</v>
      </c>
      <c r="B13" s="11">
        <v>18</v>
      </c>
    </row>
    <row r="14" spans="1:2" ht="15.75">
      <c r="A14" s="2" t="s">
        <v>10</v>
      </c>
      <c r="B14" s="11" t="s">
        <v>157</v>
      </c>
    </row>
    <row r="15" spans="1:2" ht="15.75">
      <c r="A15" s="2" t="s">
        <v>11</v>
      </c>
      <c r="B15" s="11" t="s">
        <v>171</v>
      </c>
    </row>
    <row r="16" spans="1:2" ht="15.75">
      <c r="A16" s="2" t="s">
        <v>12</v>
      </c>
      <c r="B16" s="11" t="s">
        <v>172</v>
      </c>
    </row>
    <row r="17" spans="1:2" ht="15.75">
      <c r="A17" s="2" t="s">
        <v>13</v>
      </c>
      <c r="B17" s="11" t="s">
        <v>173</v>
      </c>
    </row>
    <row r="18" spans="1:2" ht="15.75">
      <c r="A18" s="2" t="s">
        <v>14</v>
      </c>
      <c r="B18" s="11" t="s">
        <v>174</v>
      </c>
    </row>
    <row r="19" spans="1:2" ht="15.75">
      <c r="A19" s="2" t="s">
        <v>16</v>
      </c>
      <c r="B19" s="11">
        <v>3</v>
      </c>
    </row>
    <row r="20" ht="15.75">
      <c r="B20" s="11"/>
    </row>
    <row r="21" spans="1:2" ht="15.75">
      <c r="A21" s="2" t="s">
        <v>17</v>
      </c>
      <c r="B21" s="11" t="s">
        <v>158</v>
      </c>
    </row>
    <row r="22" spans="1:2" ht="15.75">
      <c r="A22" s="2" t="s">
        <v>18</v>
      </c>
      <c r="B22" s="11">
        <v>10</v>
      </c>
    </row>
    <row r="23" spans="1:2" ht="15.75">
      <c r="A23" s="2" t="s">
        <v>19</v>
      </c>
      <c r="B23" s="11" t="s">
        <v>175</v>
      </c>
    </row>
    <row r="24" spans="1:2" ht="15.75">
      <c r="A24" s="2" t="s">
        <v>20</v>
      </c>
      <c r="B24" s="45">
        <v>65</v>
      </c>
    </row>
    <row r="25" spans="1:2" ht="15.75">
      <c r="A25" s="2" t="s">
        <v>21</v>
      </c>
      <c r="B25" s="11">
        <v>0.72</v>
      </c>
    </row>
    <row r="26" ht="15.75">
      <c r="B26" s="11"/>
    </row>
    <row r="27" spans="1:2" ht="15.75">
      <c r="A27" s="2" t="s">
        <v>22</v>
      </c>
      <c r="B27" s="11">
        <v>15</v>
      </c>
    </row>
    <row r="28" spans="1:2" ht="15.75">
      <c r="A28" s="2" t="s">
        <v>23</v>
      </c>
      <c r="B28" s="11" t="s">
        <v>154</v>
      </c>
    </row>
    <row r="29" spans="1:2" ht="15.75">
      <c r="A29" s="2" t="s">
        <v>24</v>
      </c>
      <c r="B29" s="11">
        <v>88</v>
      </c>
    </row>
    <row r="30" spans="1:2" ht="15.75">
      <c r="A30" s="2" t="s">
        <v>25</v>
      </c>
      <c r="B30" s="11">
        <v>25</v>
      </c>
    </row>
    <row r="31" ht="15.75">
      <c r="B31" s="11"/>
    </row>
    <row r="32" spans="1:2" ht="18.75">
      <c r="A32" s="1" t="s">
        <v>26</v>
      </c>
      <c r="B32" s="11"/>
    </row>
    <row r="33" spans="1:5" ht="15.75">
      <c r="A33" s="2" t="s">
        <v>27</v>
      </c>
      <c r="B33" s="29">
        <v>0.4155555555555555</v>
      </c>
      <c r="D33" s="3"/>
      <c r="E33" s="3"/>
    </row>
    <row r="34" spans="1:4" ht="15.75">
      <c r="A34" s="2" t="s">
        <v>28</v>
      </c>
      <c r="B34" s="29">
        <v>0.46</v>
      </c>
      <c r="D34" s="30"/>
    </row>
    <row r="35" spans="1:2" ht="15.75">
      <c r="A35" s="2" t="s">
        <v>29</v>
      </c>
      <c r="B35" s="11">
        <v>112</v>
      </c>
    </row>
    <row r="36" spans="1:2" ht="15.75">
      <c r="A36" s="2" t="s">
        <v>30</v>
      </c>
      <c r="B36" s="11">
        <v>2606</v>
      </c>
    </row>
    <row r="37" spans="1:2" ht="15.75">
      <c r="A37" s="2" t="s">
        <v>31</v>
      </c>
      <c r="B37" s="11">
        <v>10</v>
      </c>
    </row>
    <row r="38" ht="15.75">
      <c r="B38" s="11"/>
    </row>
    <row r="39" spans="1:2" ht="15.75">
      <c r="A39" s="2" t="s">
        <v>32</v>
      </c>
      <c r="B39" s="11">
        <v>1450</v>
      </c>
    </row>
    <row r="40" spans="1:2" ht="15.75">
      <c r="A40" s="2" t="s">
        <v>33</v>
      </c>
      <c r="B40" s="11">
        <v>28</v>
      </c>
    </row>
    <row r="41" spans="1:2" ht="15.75">
      <c r="A41" s="2" t="s">
        <v>34</v>
      </c>
      <c r="B41" s="11" t="s">
        <v>176</v>
      </c>
    </row>
    <row r="42" spans="1:2" ht="15.75">
      <c r="A42" s="2" t="s">
        <v>35</v>
      </c>
      <c r="B42" s="11">
        <v>0.18</v>
      </c>
    </row>
    <row r="43" spans="1:2" ht="15.75">
      <c r="A43" s="2" t="s">
        <v>36</v>
      </c>
      <c r="B43" s="11" t="s">
        <v>159</v>
      </c>
    </row>
    <row r="44" spans="1:2" ht="15.75">
      <c r="A44" s="2" t="s">
        <v>37</v>
      </c>
      <c r="B44" s="11" t="s">
        <v>155</v>
      </c>
    </row>
    <row r="45" spans="1:2" ht="15.75">
      <c r="A45" s="2" t="s">
        <v>38</v>
      </c>
      <c r="B45" s="12">
        <v>1</v>
      </c>
    </row>
    <row r="46" spans="1:2" ht="15.75">
      <c r="A46" s="2" t="s">
        <v>39</v>
      </c>
      <c r="B46" s="13" t="s">
        <v>176</v>
      </c>
    </row>
    <row r="48" ht="18.75">
      <c r="A48" s="1" t="s">
        <v>52</v>
      </c>
    </row>
    <row r="49" spans="1:3" ht="15.75">
      <c r="A49" s="4" t="s">
        <v>54</v>
      </c>
      <c r="B49" s="2" t="s">
        <v>53</v>
      </c>
      <c r="C49" s="4" t="s">
        <v>55</v>
      </c>
    </row>
    <row r="50" spans="1:3" ht="15.75">
      <c r="A50" s="2">
        <v>1</v>
      </c>
      <c r="B50" s="5">
        <v>195</v>
      </c>
      <c r="C50" s="6"/>
    </row>
    <row r="51" spans="1:3" ht="15.75">
      <c r="A51" s="2">
        <f>IF(B51&lt;&gt;"",A50+1,"")</f>
        <v>2</v>
      </c>
      <c r="B51" s="7">
        <v>90</v>
      </c>
      <c r="C51" s="8"/>
    </row>
    <row r="52" spans="1:3" ht="15.75">
      <c r="A52" s="2">
        <f aca="true" t="shared" si="0" ref="A52:A115">IF(B52&lt;&gt;"",A51+1,"")</f>
        <v>3</v>
      </c>
      <c r="B52" s="7">
        <v>125</v>
      </c>
      <c r="C52" s="8"/>
    </row>
    <row r="53" spans="1:3" ht="15.75">
      <c r="A53" s="2">
        <f t="shared" si="0"/>
        <v>4</v>
      </c>
      <c r="B53" s="7">
        <v>265</v>
      </c>
      <c r="C53" s="8"/>
    </row>
    <row r="54" spans="1:3" ht="15.75">
      <c r="A54" s="2">
        <f t="shared" si="0"/>
        <v>5</v>
      </c>
      <c r="B54" s="7">
        <v>205</v>
      </c>
      <c r="C54" s="8">
        <v>1</v>
      </c>
    </row>
    <row r="55" spans="1:3" ht="15.75">
      <c r="A55" s="2">
        <f t="shared" si="0"/>
        <v>6</v>
      </c>
      <c r="B55" s="7">
        <v>145</v>
      </c>
      <c r="C55" s="8"/>
    </row>
    <row r="56" spans="1:3" ht="15.75">
      <c r="A56" s="2">
        <f t="shared" si="0"/>
        <v>7</v>
      </c>
      <c r="B56" s="7">
        <v>200</v>
      </c>
      <c r="C56" s="8"/>
    </row>
    <row r="57" spans="1:3" ht="15.75">
      <c r="A57" s="2">
        <f t="shared" si="0"/>
        <v>8</v>
      </c>
      <c r="B57" s="7">
        <v>155</v>
      </c>
      <c r="C57" s="8"/>
    </row>
    <row r="58" spans="1:3" ht="15.75">
      <c r="A58" s="2">
        <f t="shared" si="0"/>
        <v>9</v>
      </c>
      <c r="B58" s="7">
        <v>195</v>
      </c>
      <c r="C58" s="8">
        <v>1</v>
      </c>
    </row>
    <row r="59" spans="1:3" ht="15.75">
      <c r="A59" s="2">
        <f t="shared" si="0"/>
        <v>10</v>
      </c>
      <c r="B59" s="7">
        <v>195</v>
      </c>
      <c r="C59" s="8"/>
    </row>
    <row r="60" spans="1:3" ht="15.75">
      <c r="A60" s="2">
        <f t="shared" si="0"/>
        <v>11</v>
      </c>
      <c r="B60" s="7">
        <v>215</v>
      </c>
      <c r="C60" s="8"/>
    </row>
    <row r="61" spans="1:3" ht="15.75">
      <c r="A61" s="2">
        <f t="shared" si="0"/>
        <v>12</v>
      </c>
      <c r="B61" s="7">
        <v>155</v>
      </c>
      <c r="C61" s="8"/>
    </row>
    <row r="62" spans="1:3" ht="15.75">
      <c r="A62" s="2">
        <f t="shared" si="0"/>
        <v>13</v>
      </c>
      <c r="B62" s="7">
        <v>195</v>
      </c>
      <c r="C62" s="8">
        <v>1</v>
      </c>
    </row>
    <row r="63" spans="1:3" ht="15.75">
      <c r="A63" s="2">
        <f t="shared" si="0"/>
        <v>14</v>
      </c>
      <c r="B63" s="7">
        <v>185</v>
      </c>
      <c r="C63" s="8"/>
    </row>
    <row r="64" spans="1:3" ht="15.75">
      <c r="A64" s="2">
        <f t="shared" si="0"/>
        <v>15</v>
      </c>
      <c r="B64" s="7">
        <v>190</v>
      </c>
      <c r="C64" s="8"/>
    </row>
    <row r="65" spans="1:3" ht="15.75">
      <c r="A65" s="2">
        <f t="shared" si="0"/>
        <v>16</v>
      </c>
      <c r="B65" s="7">
        <v>185</v>
      </c>
      <c r="C65" s="8"/>
    </row>
    <row r="66" spans="1:3" ht="15.75">
      <c r="A66" s="2">
        <f t="shared" si="0"/>
        <v>17</v>
      </c>
      <c r="B66" s="7">
        <v>225</v>
      </c>
      <c r="C66" s="8">
        <v>1</v>
      </c>
    </row>
    <row r="67" spans="1:3" ht="15.75">
      <c r="A67" s="2">
        <f t="shared" si="0"/>
        <v>18</v>
      </c>
      <c r="B67" s="7">
        <v>105</v>
      </c>
      <c r="C67" s="8"/>
    </row>
    <row r="68" spans="1:3" ht="15.75">
      <c r="A68" s="2">
        <f t="shared" si="0"/>
        <v>19</v>
      </c>
      <c r="B68" s="7">
        <v>200</v>
      </c>
      <c r="C68" s="8"/>
    </row>
    <row r="69" spans="1:3" ht="15.75">
      <c r="A69" s="2">
        <f t="shared" si="0"/>
        <v>20</v>
      </c>
      <c r="B69" s="7">
        <v>260</v>
      </c>
      <c r="C69" s="8"/>
    </row>
    <row r="70" spans="1:3" ht="15.75">
      <c r="A70" s="2">
        <f t="shared" si="0"/>
        <v>21</v>
      </c>
      <c r="B70" s="7">
        <v>235</v>
      </c>
      <c r="C70" s="8">
        <v>1</v>
      </c>
    </row>
    <row r="71" spans="1:3" ht="15.75">
      <c r="A71" s="2">
        <f t="shared" si="0"/>
        <v>22</v>
      </c>
      <c r="B71" s="7">
        <v>280</v>
      </c>
      <c r="C71" s="8"/>
    </row>
    <row r="72" spans="1:3" ht="15.75">
      <c r="A72" s="2">
        <f t="shared" si="0"/>
        <v>23</v>
      </c>
      <c r="B72" s="7">
        <v>255</v>
      </c>
      <c r="C72" s="8"/>
    </row>
    <row r="73" spans="1:3" ht="15.75">
      <c r="A73" s="2">
        <f t="shared" si="0"/>
        <v>24</v>
      </c>
      <c r="B73" s="7">
        <v>205</v>
      </c>
      <c r="C73" s="8"/>
    </row>
    <row r="74" spans="1:3" ht="15.75">
      <c r="A74" s="2">
        <f t="shared" si="0"/>
        <v>25</v>
      </c>
      <c r="B74" s="7">
        <v>230</v>
      </c>
      <c r="C74" s="8">
        <v>1</v>
      </c>
    </row>
    <row r="75" spans="1:3" ht="15.75">
      <c r="A75" s="2">
        <f t="shared" si="0"/>
        <v>26</v>
      </c>
      <c r="B75" s="7">
        <v>250</v>
      </c>
      <c r="C75" s="8"/>
    </row>
    <row r="76" spans="1:3" ht="15.75">
      <c r="A76" s="2">
        <f t="shared" si="0"/>
        <v>27</v>
      </c>
      <c r="B76" s="7">
        <v>255</v>
      </c>
      <c r="C76" s="8"/>
    </row>
    <row r="77" spans="1:3" ht="15.75">
      <c r="A77" s="2">
        <f t="shared" si="0"/>
        <v>28</v>
      </c>
      <c r="B77" s="7">
        <v>245</v>
      </c>
      <c r="C77" s="8"/>
    </row>
    <row r="78" spans="1:3" ht="15.75">
      <c r="A78" s="2">
        <f t="shared" si="0"/>
        <v>29</v>
      </c>
      <c r="B78" s="7">
        <v>255</v>
      </c>
      <c r="C78" s="8">
        <v>1</v>
      </c>
    </row>
    <row r="79" spans="1:3" ht="15.75">
      <c r="A79" s="2">
        <f t="shared" si="0"/>
        <v>30</v>
      </c>
      <c r="B79" s="7">
        <v>290</v>
      </c>
      <c r="C79" s="8"/>
    </row>
    <row r="80" spans="1:3" ht="15.75">
      <c r="A80" s="2">
        <f t="shared" si="0"/>
        <v>31</v>
      </c>
      <c r="B80" s="7">
        <v>230</v>
      </c>
      <c r="C80" s="8"/>
    </row>
    <row r="81" spans="1:3" ht="15.75">
      <c r="A81" s="2">
        <f t="shared" si="0"/>
        <v>32</v>
      </c>
      <c r="B81" s="7">
        <v>275</v>
      </c>
      <c r="C81" s="8"/>
    </row>
    <row r="82" spans="1:3" ht="15.75">
      <c r="A82" s="2">
        <f t="shared" si="0"/>
        <v>33</v>
      </c>
      <c r="B82" s="7">
        <v>240</v>
      </c>
      <c r="C82" s="8">
        <v>1</v>
      </c>
    </row>
    <row r="83" spans="1:3" ht="15.75">
      <c r="A83" s="2">
        <f t="shared" si="0"/>
        <v>34</v>
      </c>
      <c r="B83" s="7">
        <v>290</v>
      </c>
      <c r="C83" s="8"/>
    </row>
    <row r="84" spans="1:3" ht="15.75">
      <c r="A84" s="2">
        <f t="shared" si="0"/>
        <v>35</v>
      </c>
      <c r="B84" s="7">
        <v>255</v>
      </c>
      <c r="C84" s="8"/>
    </row>
    <row r="85" spans="1:3" ht="15.75">
      <c r="A85" s="2">
        <f t="shared" si="0"/>
        <v>36</v>
      </c>
      <c r="B85" s="7">
        <v>260</v>
      </c>
      <c r="C85" s="8"/>
    </row>
    <row r="86" spans="1:3" ht="15.75">
      <c r="A86" s="2">
        <f t="shared" si="0"/>
        <v>37</v>
      </c>
      <c r="B86" s="7">
        <v>255</v>
      </c>
      <c r="C86" s="8"/>
    </row>
    <row r="87" spans="1:3" ht="15.75">
      <c r="A87" s="2">
        <f t="shared" si="0"/>
        <v>38</v>
      </c>
      <c r="B87" s="7">
        <v>245</v>
      </c>
      <c r="C87" s="8">
        <v>1</v>
      </c>
    </row>
    <row r="88" spans="1:3" ht="15.75">
      <c r="A88" s="2">
        <f t="shared" si="0"/>
        <v>39</v>
      </c>
      <c r="B88" s="7">
        <v>85</v>
      </c>
      <c r="C88" s="8"/>
    </row>
    <row r="89" spans="1:3" ht="15.75">
      <c r="A89" s="2">
        <f t="shared" si="0"/>
        <v>40</v>
      </c>
      <c r="B89" s="7">
        <v>255</v>
      </c>
      <c r="C89" s="8"/>
    </row>
    <row r="90" spans="1:3" ht="15.75">
      <c r="A90" s="2">
        <f t="shared" si="0"/>
        <v>41</v>
      </c>
      <c r="B90" s="7">
        <v>280</v>
      </c>
      <c r="C90" s="8"/>
    </row>
    <row r="91" spans="1:3" ht="15.75">
      <c r="A91" s="2">
        <f t="shared" si="0"/>
        <v>42</v>
      </c>
      <c r="B91" s="7">
        <v>245</v>
      </c>
      <c r="C91" s="8"/>
    </row>
    <row r="92" spans="1:3" ht="15.75">
      <c r="A92" s="2">
        <f t="shared" si="0"/>
        <v>43</v>
      </c>
      <c r="B92" s="7">
        <v>225</v>
      </c>
      <c r="C92" s="8">
        <v>1</v>
      </c>
    </row>
    <row r="93" spans="1:3" ht="15.75">
      <c r="A93" s="2">
        <f t="shared" si="0"/>
        <v>44</v>
      </c>
      <c r="B93" s="7">
        <v>270</v>
      </c>
      <c r="C93" s="8"/>
    </row>
    <row r="94" spans="1:3" ht="15.75">
      <c r="A94" s="2">
        <f t="shared" si="0"/>
        <v>45</v>
      </c>
      <c r="B94" s="7">
        <v>255</v>
      </c>
      <c r="C94" s="8"/>
    </row>
    <row r="95" spans="1:3" ht="15.75">
      <c r="A95" s="2">
        <f t="shared" si="0"/>
        <v>46</v>
      </c>
      <c r="B95" s="7">
        <v>290</v>
      </c>
      <c r="C95" s="8"/>
    </row>
    <row r="96" spans="1:3" ht="15.75">
      <c r="A96" s="2">
        <f t="shared" si="0"/>
        <v>47</v>
      </c>
      <c r="B96" s="7">
        <v>265</v>
      </c>
      <c r="C96" s="8"/>
    </row>
    <row r="97" spans="1:3" ht="15.75">
      <c r="A97" s="2">
        <f t="shared" si="0"/>
        <v>48</v>
      </c>
      <c r="B97" s="7">
        <v>285</v>
      </c>
      <c r="C97" s="8">
        <v>1</v>
      </c>
    </row>
    <row r="98" spans="1:3" ht="15.75">
      <c r="A98" s="2">
        <f t="shared" si="0"/>
        <v>49</v>
      </c>
      <c r="B98" s="7">
        <v>330</v>
      </c>
      <c r="C98" s="8"/>
    </row>
    <row r="99" spans="1:3" ht="15.75">
      <c r="A99" s="2">
        <f t="shared" si="0"/>
        <v>50</v>
      </c>
      <c r="B99" s="7">
        <v>260</v>
      </c>
      <c r="C99" s="8"/>
    </row>
    <row r="100" spans="1:3" ht="15.75">
      <c r="A100" s="2">
        <f t="shared" si="0"/>
        <v>51</v>
      </c>
      <c r="B100" s="7">
        <v>250</v>
      </c>
      <c r="C100" s="8"/>
    </row>
    <row r="101" spans="1:3" ht="15.75">
      <c r="A101" s="2">
        <f t="shared" si="0"/>
        <v>52</v>
      </c>
      <c r="B101" s="7">
        <v>260</v>
      </c>
      <c r="C101" s="8">
        <v>1</v>
      </c>
    </row>
    <row r="102" spans="1:3" ht="15.75">
      <c r="A102" s="2">
        <f t="shared" si="0"/>
        <v>53</v>
      </c>
      <c r="B102" s="7">
        <v>255</v>
      </c>
      <c r="C102" s="8"/>
    </row>
    <row r="103" spans="1:3" ht="15.75">
      <c r="A103" s="2">
        <f t="shared" si="0"/>
        <v>54</v>
      </c>
      <c r="B103" s="7">
        <v>280</v>
      </c>
      <c r="C103" s="8"/>
    </row>
    <row r="104" spans="1:3" ht="15.75">
      <c r="A104" s="2">
        <f t="shared" si="0"/>
        <v>55</v>
      </c>
      <c r="B104" s="7">
        <v>270</v>
      </c>
      <c r="C104" s="8"/>
    </row>
    <row r="105" spans="1:3" ht="15.75">
      <c r="A105" s="2">
        <f t="shared" si="0"/>
        <v>56</v>
      </c>
      <c r="B105" s="7">
        <v>285</v>
      </c>
      <c r="C105" s="8"/>
    </row>
    <row r="106" spans="1:3" ht="15.75">
      <c r="A106" s="2">
        <f t="shared" si="0"/>
        <v>57</v>
      </c>
      <c r="B106" s="7">
        <v>235</v>
      </c>
      <c r="C106" s="8">
        <v>1</v>
      </c>
    </row>
    <row r="107" spans="1:3" ht="15.75">
      <c r="A107" s="2">
        <f t="shared" si="0"/>
        <v>58</v>
      </c>
      <c r="B107" s="7">
        <v>265</v>
      </c>
      <c r="C107" s="8"/>
    </row>
    <row r="108" spans="1:3" ht="15.75">
      <c r="A108" s="2">
        <f t="shared" si="0"/>
        <v>59</v>
      </c>
      <c r="B108" s="7">
        <v>235</v>
      </c>
      <c r="C108" s="8"/>
    </row>
    <row r="109" spans="1:3" ht="15.75">
      <c r="A109" s="2">
        <f t="shared" si="0"/>
        <v>60</v>
      </c>
      <c r="B109" s="7">
        <v>230</v>
      </c>
      <c r="C109" s="8"/>
    </row>
    <row r="110" spans="1:3" ht="15.75">
      <c r="A110" s="2">
        <f t="shared" si="0"/>
        <v>61</v>
      </c>
      <c r="B110" s="7">
        <v>430</v>
      </c>
      <c r="C110" s="8"/>
    </row>
    <row r="111" spans="1:3" ht="15.75">
      <c r="A111" s="2">
        <f t="shared" si="0"/>
        <v>62</v>
      </c>
      <c r="B111" s="7">
        <v>235</v>
      </c>
      <c r="C111" s="8"/>
    </row>
    <row r="112" spans="1:3" ht="15.75">
      <c r="A112" s="2">
        <f t="shared" si="0"/>
        <v>63</v>
      </c>
      <c r="B112" s="7">
        <v>205</v>
      </c>
      <c r="C112" s="8">
        <v>1</v>
      </c>
    </row>
    <row r="113" spans="1:3" ht="15.75">
      <c r="A113" s="2">
        <f t="shared" si="0"/>
        <v>64</v>
      </c>
      <c r="B113" s="7">
        <v>245</v>
      </c>
      <c r="C113" s="8"/>
    </row>
    <row r="114" spans="1:3" ht="15.75">
      <c r="A114" s="2">
        <f t="shared" si="0"/>
        <v>65</v>
      </c>
      <c r="B114" s="7">
        <v>230</v>
      </c>
      <c r="C114" s="8"/>
    </row>
    <row r="115" spans="1:3" ht="15.75">
      <c r="A115" s="2">
        <f t="shared" si="0"/>
        <v>66</v>
      </c>
      <c r="B115" s="7">
        <v>205</v>
      </c>
      <c r="C115" s="8"/>
    </row>
    <row r="116" spans="1:3" ht="15.75">
      <c r="A116" s="2">
        <f aca="true" t="shared" si="1" ref="A116:A179">IF(B116&lt;&gt;"",A115+1,"")</f>
        <v>67</v>
      </c>
      <c r="B116" s="7">
        <v>235</v>
      </c>
      <c r="C116" s="8"/>
    </row>
    <row r="117" spans="1:3" ht="15.75">
      <c r="A117" s="2">
        <f t="shared" si="1"/>
        <v>68</v>
      </c>
      <c r="B117" s="7">
        <v>205</v>
      </c>
      <c r="C117" s="8">
        <v>1</v>
      </c>
    </row>
    <row r="118" spans="1:3" ht="15.75">
      <c r="A118" s="2">
        <f t="shared" si="1"/>
        <v>69</v>
      </c>
      <c r="B118" s="7">
        <v>245</v>
      </c>
      <c r="C118" s="8"/>
    </row>
    <row r="119" spans="1:3" ht="15.75">
      <c r="A119" s="2">
        <f t="shared" si="1"/>
        <v>70</v>
      </c>
      <c r="B119" s="7">
        <v>205</v>
      </c>
      <c r="C119" s="8"/>
    </row>
    <row r="120" spans="1:3" ht="15.75">
      <c r="A120" s="2">
        <f t="shared" si="1"/>
        <v>71</v>
      </c>
      <c r="B120" s="7">
        <v>210</v>
      </c>
      <c r="C120" s="8"/>
    </row>
    <row r="121" spans="1:3" ht="15.75">
      <c r="A121" s="2">
        <f t="shared" si="1"/>
        <v>72</v>
      </c>
      <c r="B121" s="7">
        <v>225</v>
      </c>
      <c r="C121" s="8"/>
    </row>
    <row r="122" spans="1:3" ht="15.75">
      <c r="A122" s="2">
        <f t="shared" si="1"/>
        <v>73</v>
      </c>
      <c r="B122" s="7">
        <v>215</v>
      </c>
      <c r="C122" s="8"/>
    </row>
    <row r="123" spans="1:3" ht="15.75">
      <c r="A123" s="2">
        <f t="shared" si="1"/>
        <v>74</v>
      </c>
      <c r="B123" s="7">
        <v>210</v>
      </c>
      <c r="C123" s="8">
        <v>1</v>
      </c>
    </row>
    <row r="124" spans="1:3" ht="15.75">
      <c r="A124" s="2">
        <f t="shared" si="1"/>
        <v>75</v>
      </c>
      <c r="B124" s="7">
        <v>220</v>
      </c>
      <c r="C124" s="8"/>
    </row>
    <row r="125" spans="1:3" ht="15.75">
      <c r="A125" s="2">
        <f t="shared" si="1"/>
        <v>76</v>
      </c>
      <c r="B125" s="7">
        <v>210</v>
      </c>
      <c r="C125" s="8"/>
    </row>
    <row r="126" spans="1:3" ht="15.75">
      <c r="A126" s="2">
        <f t="shared" si="1"/>
        <v>77</v>
      </c>
      <c r="B126" s="7">
        <v>210</v>
      </c>
      <c r="C126" s="8"/>
    </row>
    <row r="127" spans="1:3" ht="15.75">
      <c r="A127" s="2">
        <f t="shared" si="1"/>
        <v>78</v>
      </c>
      <c r="B127" s="7">
        <v>220</v>
      </c>
      <c r="C127" s="8"/>
    </row>
    <row r="128" spans="1:3" ht="15.75">
      <c r="A128" s="2">
        <f t="shared" si="1"/>
        <v>79</v>
      </c>
      <c r="B128" s="7">
        <v>175</v>
      </c>
      <c r="C128" s="8">
        <v>1</v>
      </c>
    </row>
    <row r="129" spans="1:3" ht="15.75">
      <c r="A129" s="2">
        <f t="shared" si="1"/>
      </c>
      <c r="B129" s="7"/>
      <c r="C129" s="8"/>
    </row>
    <row r="130" spans="1:3" ht="15.75">
      <c r="A130" s="2">
        <f t="shared" si="1"/>
      </c>
      <c r="B130" s="7"/>
      <c r="C130" s="8"/>
    </row>
    <row r="131" spans="1:3" ht="15.75">
      <c r="A131" s="2">
        <f t="shared" si="1"/>
      </c>
      <c r="B131" s="7"/>
      <c r="C131" s="8"/>
    </row>
    <row r="132" spans="1:3" ht="15.75">
      <c r="A132" s="2">
        <f t="shared" si="1"/>
      </c>
      <c r="B132" s="7"/>
      <c r="C132" s="8"/>
    </row>
    <row r="133" spans="1:3" ht="15.75">
      <c r="A133" s="2">
        <f t="shared" si="1"/>
      </c>
      <c r="B133" s="7"/>
      <c r="C133" s="8"/>
    </row>
    <row r="134" spans="1:3" ht="15.75">
      <c r="A134" s="2">
        <f t="shared" si="1"/>
      </c>
      <c r="B134" s="7"/>
      <c r="C134" s="8"/>
    </row>
    <row r="135" spans="1:3" ht="15.75">
      <c r="A135" s="2">
        <f t="shared" si="1"/>
      </c>
      <c r="B135" s="7"/>
      <c r="C135" s="8"/>
    </row>
    <row r="136" spans="1:3" ht="15.75">
      <c r="A136" s="2">
        <f t="shared" si="1"/>
      </c>
      <c r="B136" s="7"/>
      <c r="C136" s="8"/>
    </row>
    <row r="137" spans="1:3" ht="15.75">
      <c r="A137" s="2">
        <f t="shared" si="1"/>
      </c>
      <c r="B137" s="7"/>
      <c r="C137" s="8"/>
    </row>
    <row r="138" spans="1:3" ht="15.75">
      <c r="A138" s="2">
        <f t="shared" si="1"/>
      </c>
      <c r="B138" s="7"/>
      <c r="C138" s="8"/>
    </row>
    <row r="139" spans="1:3" ht="15.75">
      <c r="A139" s="2">
        <f t="shared" si="1"/>
      </c>
      <c r="B139" s="7"/>
      <c r="C139" s="8"/>
    </row>
    <row r="140" spans="1:3" ht="15.75">
      <c r="A140" s="2">
        <f t="shared" si="1"/>
      </c>
      <c r="B140" s="7"/>
      <c r="C140" s="8"/>
    </row>
    <row r="141" spans="1:3" ht="15.75">
      <c r="A141" s="2">
        <f t="shared" si="1"/>
      </c>
      <c r="B141" s="7"/>
      <c r="C141" s="8"/>
    </row>
    <row r="142" spans="1:3" ht="15.75">
      <c r="A142" s="2">
        <f t="shared" si="1"/>
      </c>
      <c r="B142" s="7"/>
      <c r="C142" s="8"/>
    </row>
    <row r="143" spans="1:3" ht="15.75">
      <c r="A143" s="2">
        <f t="shared" si="1"/>
      </c>
      <c r="B143" s="7"/>
      <c r="C143" s="8"/>
    </row>
    <row r="144" spans="1:3" ht="15.75">
      <c r="A144" s="2">
        <f t="shared" si="1"/>
      </c>
      <c r="B144" s="7"/>
      <c r="C144" s="8"/>
    </row>
    <row r="145" spans="1:3" ht="15.75">
      <c r="A145" s="2">
        <f t="shared" si="1"/>
      </c>
      <c r="B145" s="7"/>
      <c r="C145" s="8"/>
    </row>
    <row r="146" spans="1:3" ht="15.75">
      <c r="A146" s="2">
        <f t="shared" si="1"/>
      </c>
      <c r="B146" s="7"/>
      <c r="C146" s="8"/>
    </row>
    <row r="147" spans="1:3" ht="15.75">
      <c r="A147" s="2">
        <f t="shared" si="1"/>
      </c>
      <c r="B147" s="7"/>
      <c r="C147" s="8"/>
    </row>
    <row r="148" spans="1:3" ht="15.75">
      <c r="A148" s="2">
        <f t="shared" si="1"/>
      </c>
      <c r="B148" s="7"/>
      <c r="C148" s="8"/>
    </row>
    <row r="149" spans="1:3" ht="15.75">
      <c r="A149" s="2">
        <f t="shared" si="1"/>
      </c>
      <c r="B149" s="7"/>
      <c r="C149" s="8"/>
    </row>
    <row r="150" spans="1:3" ht="15.75">
      <c r="A150" s="2">
        <f t="shared" si="1"/>
      </c>
      <c r="B150" s="7"/>
      <c r="C150" s="8"/>
    </row>
    <row r="151" spans="1:3" ht="15.75">
      <c r="A151" s="2">
        <f t="shared" si="1"/>
      </c>
      <c r="B151" s="15"/>
      <c r="C151" s="16"/>
    </row>
    <row r="152" spans="1:3" ht="15.75">
      <c r="A152" s="2">
        <f t="shared" si="1"/>
      </c>
      <c r="B152" s="15"/>
      <c r="C152" s="16"/>
    </row>
    <row r="153" spans="1:3" ht="15.75">
      <c r="A153" s="2">
        <f t="shared" si="1"/>
      </c>
      <c r="B153" s="15"/>
      <c r="C153" s="16"/>
    </row>
    <row r="154" spans="1:3" ht="15.75">
      <c r="A154" s="2">
        <f t="shared" si="1"/>
      </c>
      <c r="B154" s="15"/>
      <c r="C154" s="16"/>
    </row>
    <row r="155" spans="1:3" ht="15.75">
      <c r="A155" s="2">
        <f t="shared" si="1"/>
      </c>
      <c r="B155" s="15"/>
      <c r="C155" s="16"/>
    </row>
    <row r="156" spans="1:3" ht="15.75">
      <c r="A156" s="2">
        <f t="shared" si="1"/>
      </c>
      <c r="B156" s="15"/>
      <c r="C156" s="16"/>
    </row>
    <row r="157" spans="1:3" ht="15.75">
      <c r="A157" s="2">
        <f t="shared" si="1"/>
      </c>
      <c r="B157" s="15"/>
      <c r="C157" s="16"/>
    </row>
    <row r="158" spans="1:3" ht="15.75">
      <c r="A158" s="2">
        <f t="shared" si="1"/>
      </c>
      <c r="B158" s="15"/>
      <c r="C158" s="16"/>
    </row>
    <row r="159" spans="1:3" ht="15.75">
      <c r="A159" s="2">
        <f t="shared" si="1"/>
      </c>
      <c r="B159" s="15"/>
      <c r="C159" s="16"/>
    </row>
    <row r="160" spans="1:3" ht="15.75">
      <c r="A160" s="2">
        <f t="shared" si="1"/>
      </c>
      <c r="B160" s="15"/>
      <c r="C160" s="16"/>
    </row>
    <row r="161" spans="1:3" ht="15.75">
      <c r="A161" s="2">
        <f t="shared" si="1"/>
      </c>
      <c r="B161" s="15"/>
      <c r="C161" s="16"/>
    </row>
    <row r="162" spans="1:3" ht="15.75">
      <c r="A162" s="2">
        <f t="shared" si="1"/>
      </c>
      <c r="B162" s="15"/>
      <c r="C162" s="16"/>
    </row>
    <row r="163" spans="1:3" ht="15.75">
      <c r="A163" s="2">
        <f t="shared" si="1"/>
      </c>
      <c r="B163" s="15"/>
      <c r="C163" s="16"/>
    </row>
    <row r="164" spans="1:3" ht="15.75">
      <c r="A164" s="2">
        <f t="shared" si="1"/>
      </c>
      <c r="B164" s="15"/>
      <c r="C164" s="16"/>
    </row>
    <row r="165" spans="1:3" ht="15.75">
      <c r="A165" s="2">
        <f t="shared" si="1"/>
      </c>
      <c r="B165" s="15"/>
      <c r="C165" s="16"/>
    </row>
    <row r="166" spans="1:3" ht="15.75">
      <c r="A166" s="2">
        <f t="shared" si="1"/>
      </c>
      <c r="B166" s="15"/>
      <c r="C166" s="16"/>
    </row>
    <row r="167" spans="1:3" ht="15.75">
      <c r="A167" s="2">
        <f t="shared" si="1"/>
      </c>
      <c r="B167" s="15"/>
      <c r="C167" s="16"/>
    </row>
    <row r="168" spans="1:3" ht="15.75">
      <c r="A168" s="2">
        <f t="shared" si="1"/>
      </c>
      <c r="B168" s="15"/>
      <c r="C168" s="16"/>
    </row>
    <row r="169" spans="1:3" ht="15.75">
      <c r="A169" s="2">
        <f t="shared" si="1"/>
      </c>
      <c r="B169" s="15"/>
      <c r="C169" s="16"/>
    </row>
    <row r="170" spans="1:3" ht="15.75">
      <c r="A170" s="2">
        <f t="shared" si="1"/>
      </c>
      <c r="B170" s="15"/>
      <c r="C170" s="16"/>
    </row>
    <row r="171" spans="1:3" ht="15.75">
      <c r="A171" s="2">
        <f t="shared" si="1"/>
      </c>
      <c r="B171" s="15"/>
      <c r="C171" s="16"/>
    </row>
    <row r="172" spans="1:3" ht="15.75">
      <c r="A172" s="2">
        <f t="shared" si="1"/>
      </c>
      <c r="B172" s="15"/>
      <c r="C172" s="16"/>
    </row>
    <row r="173" spans="1:3" ht="15.75">
      <c r="A173" s="2">
        <f t="shared" si="1"/>
      </c>
      <c r="B173" s="15"/>
      <c r="C173" s="16"/>
    </row>
    <row r="174" spans="1:3" ht="15.75">
      <c r="A174" s="2">
        <f t="shared" si="1"/>
      </c>
      <c r="B174" s="15"/>
      <c r="C174" s="16"/>
    </row>
    <row r="175" spans="1:3" ht="15.75">
      <c r="A175" s="2">
        <f t="shared" si="1"/>
      </c>
      <c r="B175" s="15"/>
      <c r="C175" s="16"/>
    </row>
    <row r="176" spans="1:3" ht="15.75">
      <c r="A176" s="2">
        <f t="shared" si="1"/>
      </c>
      <c r="B176" s="15"/>
      <c r="C176" s="16"/>
    </row>
    <row r="177" spans="1:3" ht="15.75">
      <c r="A177" s="2">
        <f t="shared" si="1"/>
      </c>
      <c r="B177" s="15"/>
      <c r="C177" s="16"/>
    </row>
    <row r="178" spans="1:3" ht="15.75">
      <c r="A178" s="2">
        <f t="shared" si="1"/>
      </c>
      <c r="B178" s="15"/>
      <c r="C178" s="16"/>
    </row>
    <row r="179" spans="1:3" ht="15.75">
      <c r="A179" s="2">
        <f t="shared" si="1"/>
      </c>
      <c r="B179" s="15"/>
      <c r="C179" s="16"/>
    </row>
    <row r="180" spans="1:3" ht="15.75">
      <c r="A180" s="2">
        <f aca="true" t="shared" si="2" ref="A180:A200">IF(B180&lt;&gt;"",A179+1,"")</f>
      </c>
      <c r="B180" s="15"/>
      <c r="C180" s="16"/>
    </row>
    <row r="181" spans="1:3" ht="15.75">
      <c r="A181" s="2">
        <f t="shared" si="2"/>
      </c>
      <c r="B181" s="15"/>
      <c r="C181" s="16"/>
    </row>
    <row r="182" spans="1:3" ht="15.75">
      <c r="A182" s="2">
        <f t="shared" si="2"/>
      </c>
      <c r="B182" s="15"/>
      <c r="C182" s="16"/>
    </row>
    <row r="183" spans="1:3" ht="15.75">
      <c r="A183" s="2">
        <f t="shared" si="2"/>
      </c>
      <c r="B183" s="15"/>
      <c r="C183" s="16"/>
    </row>
    <row r="184" spans="1:3" ht="15.75">
      <c r="A184" s="2">
        <f t="shared" si="2"/>
      </c>
      <c r="B184" s="15"/>
      <c r="C184" s="16"/>
    </row>
    <row r="185" spans="1:3" ht="15.75">
      <c r="A185" s="2">
        <f t="shared" si="2"/>
      </c>
      <c r="B185" s="15"/>
      <c r="C185" s="16"/>
    </row>
    <row r="186" spans="1:3" ht="15.75">
      <c r="A186" s="2">
        <f t="shared" si="2"/>
      </c>
      <c r="B186" s="15"/>
      <c r="C186" s="16"/>
    </row>
    <row r="187" spans="1:3" ht="15.75">
      <c r="A187" s="2">
        <f t="shared" si="2"/>
      </c>
      <c r="B187" s="15"/>
      <c r="C187" s="16"/>
    </row>
    <row r="188" spans="1:3" ht="15.75">
      <c r="A188" s="2">
        <f t="shared" si="2"/>
      </c>
      <c r="B188" s="15"/>
      <c r="C188" s="16"/>
    </row>
    <row r="189" spans="1:3" ht="15.75">
      <c r="A189" s="2">
        <f t="shared" si="2"/>
      </c>
      <c r="B189" s="15"/>
      <c r="C189" s="16"/>
    </row>
    <row r="190" spans="1:3" ht="15.75">
      <c r="A190" s="2">
        <f t="shared" si="2"/>
      </c>
      <c r="B190" s="15"/>
      <c r="C190" s="16"/>
    </row>
    <row r="191" spans="1:3" ht="15.75">
      <c r="A191" s="2">
        <f t="shared" si="2"/>
      </c>
      <c r="B191" s="15"/>
      <c r="C191" s="16"/>
    </row>
    <row r="192" spans="1:3" ht="15.75">
      <c r="A192" s="2">
        <f t="shared" si="2"/>
      </c>
      <c r="B192" s="15"/>
      <c r="C192" s="16"/>
    </row>
    <row r="193" spans="1:3" ht="15.75">
      <c r="A193" s="2">
        <f t="shared" si="2"/>
      </c>
      <c r="B193" s="15"/>
      <c r="C193" s="16"/>
    </row>
    <row r="194" spans="1:3" ht="15.75">
      <c r="A194" s="2">
        <f t="shared" si="2"/>
      </c>
      <c r="B194" s="15"/>
      <c r="C194" s="16"/>
    </row>
    <row r="195" spans="1:3" ht="15.75">
      <c r="A195" s="2">
        <f t="shared" si="2"/>
      </c>
      <c r="B195" s="15"/>
      <c r="C195" s="16"/>
    </row>
    <row r="196" spans="1:3" ht="15.75">
      <c r="A196" s="2">
        <f t="shared" si="2"/>
      </c>
      <c r="B196" s="15"/>
      <c r="C196" s="16"/>
    </row>
    <row r="197" spans="1:3" ht="15.75">
      <c r="A197" s="2">
        <f t="shared" si="2"/>
      </c>
      <c r="B197" s="15"/>
      <c r="C197" s="16"/>
    </row>
    <row r="198" spans="1:3" ht="15.75">
      <c r="A198" s="2">
        <f t="shared" si="2"/>
      </c>
      <c r="B198" s="15"/>
      <c r="C198" s="16"/>
    </row>
    <row r="199" spans="1:3" ht="15.75">
      <c r="A199" s="2">
        <f t="shared" si="2"/>
      </c>
      <c r="B199" s="15"/>
      <c r="C199" s="16"/>
    </row>
    <row r="200" spans="1:3" ht="15.75">
      <c r="A200" s="2">
        <f t="shared" si="2"/>
      </c>
      <c r="B200" s="17"/>
      <c r="C200" s="18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9"/>
  <sheetViews>
    <sheetView workbookViewId="0" topLeftCell="H10">
      <selection activeCell="I159" sqref="I159"/>
    </sheetView>
  </sheetViews>
  <sheetFormatPr defaultColWidth="9.140625" defaultRowHeight="12.75"/>
  <cols>
    <col min="1" max="1" width="26.140625" style="2" bestFit="1" customWidth="1"/>
    <col min="2" max="2" width="11.00390625" style="2" bestFit="1" customWidth="1"/>
    <col min="3" max="9" width="9.140625" style="2" customWidth="1"/>
    <col min="10" max="10" width="10.140625" style="2" bestFit="1" customWidth="1"/>
    <col min="11" max="13" width="9.140625" style="2" customWidth="1"/>
    <col min="14" max="14" width="10.140625" style="2" bestFit="1" customWidth="1"/>
    <col min="15" max="16384" width="9.140625" style="2" customWidth="1"/>
  </cols>
  <sheetData>
    <row r="1" ht="18.75">
      <c r="A1" s="1" t="s">
        <v>1</v>
      </c>
    </row>
    <row r="2" spans="1:6" ht="18.75">
      <c r="A2" s="1" t="s">
        <v>40</v>
      </c>
      <c r="F2" s="1" t="s">
        <v>56</v>
      </c>
    </row>
    <row r="3" spans="10:16" ht="15.75">
      <c r="J3" s="2" t="s">
        <v>58</v>
      </c>
      <c r="K3" s="2" t="s">
        <v>61</v>
      </c>
      <c r="O3" s="2" t="s">
        <v>64</v>
      </c>
      <c r="P3" s="2" t="s">
        <v>65</v>
      </c>
    </row>
    <row r="4" spans="1:16" ht="15.75">
      <c r="A4" s="2" t="s">
        <v>42</v>
      </c>
      <c r="B4" s="3">
        <f>Data!B35/(24*(Data!B34-Data!B33))</f>
        <v>104.99999999999984</v>
      </c>
      <c r="E4" s="14" t="s">
        <v>67</v>
      </c>
      <c r="F4" s="14" t="s">
        <v>57</v>
      </c>
      <c r="G4" s="14" t="s">
        <v>58</v>
      </c>
      <c r="H4" s="14" t="s">
        <v>55</v>
      </c>
      <c r="I4" s="14" t="s">
        <v>59</v>
      </c>
      <c r="J4" s="14" t="s">
        <v>60</v>
      </c>
      <c r="K4" s="14" t="s">
        <v>60</v>
      </c>
      <c r="L4" s="14" t="s">
        <v>62</v>
      </c>
      <c r="M4" s="14" t="s">
        <v>61</v>
      </c>
      <c r="N4" s="14" t="s">
        <v>63</v>
      </c>
      <c r="O4" s="14" t="s">
        <v>63</v>
      </c>
      <c r="P4" s="14" t="s">
        <v>66</v>
      </c>
    </row>
    <row r="5" spans="1:16" ht="15.75">
      <c r="A5" s="2" t="s">
        <v>41</v>
      </c>
      <c r="E5" s="2">
        <f>IF(G5&lt;=$B$45,F5,0)</f>
        <v>1</v>
      </c>
      <c r="F5" s="2">
        <f>Data!A50</f>
        <v>1</v>
      </c>
      <c r="G5" s="2">
        <f>IF(Data!B50&lt;&gt;" ",Data!B50," ")</f>
        <v>195</v>
      </c>
      <c r="H5" s="2">
        <f>IF(Data!C50=1,0.05,-1)</f>
        <v>-1</v>
      </c>
      <c r="I5" s="2">
        <f>G5/250</f>
        <v>0.78</v>
      </c>
      <c r="J5" s="2">
        <f aca="true" t="shared" si="0" ref="J5:J45">IF(G5&lt;&gt;0,(F5*G5),0)</f>
        <v>195</v>
      </c>
      <c r="K5" s="2">
        <f aca="true" t="shared" si="1" ref="K5:K46">IF(G5&lt;&gt;0,E5*G5,0)</f>
        <v>195</v>
      </c>
      <c r="L5" s="2">
        <f>$B$16</f>
        <v>1.0113402687304711</v>
      </c>
      <c r="M5" s="2">
        <f>$B$22</f>
        <v>0.7355908289241623</v>
      </c>
      <c r="N5" s="2">
        <f>$B$19</f>
        <v>0.9550822784810126</v>
      </c>
      <c r="P5" s="2">
        <f>(Data!B36+Data!B37)/Calculations!B43</f>
        <v>33.11392405063291</v>
      </c>
    </row>
    <row r="6" spans="5:16" ht="15.75">
      <c r="E6" s="2">
        <f aca="true" t="shared" si="2" ref="E6:E69">IF(G6&lt;=$B$45,F6,0)</f>
        <v>2</v>
      </c>
      <c r="F6" s="2">
        <f>Data!A51</f>
        <v>2</v>
      </c>
      <c r="G6" s="2">
        <f>IF(Data!B51&lt;&gt;" ",Data!B51," ")</f>
        <v>90</v>
      </c>
      <c r="H6" s="2">
        <f>IF(Data!C51=1,0.05,-1)</f>
        <v>-1</v>
      </c>
      <c r="I6" s="2">
        <f aca="true" t="shared" si="3" ref="I6:I69">G6/250</f>
        <v>0.36</v>
      </c>
      <c r="J6" s="2">
        <f t="shared" si="0"/>
        <v>180</v>
      </c>
      <c r="K6" s="2">
        <f t="shared" si="1"/>
        <v>180</v>
      </c>
      <c r="L6" s="2">
        <f aca="true" t="shared" si="4" ref="L6:L69">$B$16</f>
        <v>1.0113402687304711</v>
      </c>
      <c r="M6" s="2">
        <f aca="true" t="shared" si="5" ref="M6:M69">$B$22</f>
        <v>0.7355908289241623</v>
      </c>
      <c r="N6" s="2">
        <f aca="true" t="shared" si="6" ref="N6:N69">$B$19</f>
        <v>0.9550822784810126</v>
      </c>
      <c r="P6" s="2">
        <f>P5+$P$5</f>
        <v>66.22784810126582</v>
      </c>
    </row>
    <row r="7" spans="1:16" ht="15.75">
      <c r="A7" s="2" t="s">
        <v>43</v>
      </c>
      <c r="B7" s="31">
        <f>2*Data!B36*3.14159</f>
        <v>16373.967079999999</v>
      </c>
      <c r="E7" s="2">
        <f t="shared" si="2"/>
        <v>3</v>
      </c>
      <c r="F7" s="2">
        <f>Data!A52</f>
        <v>3</v>
      </c>
      <c r="G7" s="2">
        <f>IF(Data!B52&lt;&gt;" ",Data!B52," ")</f>
        <v>125</v>
      </c>
      <c r="H7" s="2">
        <f>IF(Data!C52=1,0.05,-1)</f>
        <v>-1</v>
      </c>
      <c r="I7" s="2">
        <f t="shared" si="3"/>
        <v>0.5</v>
      </c>
      <c r="J7" s="2">
        <f t="shared" si="0"/>
        <v>375</v>
      </c>
      <c r="K7" s="2">
        <f t="shared" si="1"/>
        <v>375</v>
      </c>
      <c r="L7" s="2">
        <f t="shared" si="4"/>
        <v>1.0113402687304711</v>
      </c>
      <c r="M7" s="2">
        <f t="shared" si="5"/>
        <v>0.7355908289241623</v>
      </c>
      <c r="N7" s="2">
        <f t="shared" si="6"/>
        <v>0.9550822784810126</v>
      </c>
      <c r="P7" s="2">
        <f aca="true" t="shared" si="7" ref="P7:P70">P6+$P$5</f>
        <v>99.34177215189874</v>
      </c>
    </row>
    <row r="8" spans="1:16" ht="15.75">
      <c r="A8" s="2" t="s">
        <v>44</v>
      </c>
      <c r="E8" s="2">
        <f t="shared" si="2"/>
        <v>0</v>
      </c>
      <c r="F8" s="2">
        <f>Data!A53</f>
        <v>4</v>
      </c>
      <c r="G8" s="2">
        <f>IF(Data!B53&lt;&gt;" ",Data!B53," ")</f>
        <v>265</v>
      </c>
      <c r="H8" s="2">
        <f>IF(Data!C53=1,0.05,-1)</f>
        <v>-1</v>
      </c>
      <c r="I8" s="2">
        <f t="shared" si="3"/>
        <v>1.06</v>
      </c>
      <c r="J8" s="2">
        <f t="shared" si="0"/>
        <v>1060</v>
      </c>
      <c r="K8" s="2">
        <f t="shared" si="1"/>
        <v>0</v>
      </c>
      <c r="L8" s="2">
        <f t="shared" si="4"/>
        <v>1.0113402687304711</v>
      </c>
      <c r="M8" s="2">
        <f t="shared" si="5"/>
        <v>0.7355908289241623</v>
      </c>
      <c r="N8" s="2">
        <f t="shared" si="6"/>
        <v>0.9550822784810126</v>
      </c>
      <c r="P8" s="2">
        <f t="shared" si="7"/>
        <v>132.45569620253164</v>
      </c>
    </row>
    <row r="9" spans="5:16" ht="15.75">
      <c r="E9" s="2">
        <f t="shared" si="2"/>
        <v>5</v>
      </c>
      <c r="F9" s="2">
        <f>Data!A54</f>
        <v>5</v>
      </c>
      <c r="G9" s="2">
        <f>IF(Data!B54&lt;&gt;" ",Data!B54," ")</f>
        <v>205</v>
      </c>
      <c r="H9" s="2">
        <f>IF(Data!C54=1,0.05,-1)</f>
        <v>0.05</v>
      </c>
      <c r="I9" s="2">
        <f t="shared" si="3"/>
        <v>0.82</v>
      </c>
      <c r="J9" s="2">
        <f t="shared" si="0"/>
        <v>1025</v>
      </c>
      <c r="K9" s="2">
        <f t="shared" si="1"/>
        <v>1025</v>
      </c>
      <c r="L9" s="2">
        <f t="shared" si="4"/>
        <v>1.0113402687304711</v>
      </c>
      <c r="M9" s="2">
        <f t="shared" si="5"/>
        <v>0.7355908289241623</v>
      </c>
      <c r="N9" s="2">
        <f t="shared" si="6"/>
        <v>0.9550822784810126</v>
      </c>
      <c r="O9" s="2">
        <f>IF(AND(I5&gt;0,I14&gt;0),AVERAGE(I5:I14)," ")</f>
        <v>0.708</v>
      </c>
      <c r="P9" s="2">
        <f t="shared" si="7"/>
        <v>165.56962025316454</v>
      </c>
    </row>
    <row r="10" spans="1:16" ht="15.75">
      <c r="A10" s="2" t="s">
        <v>51</v>
      </c>
      <c r="B10" s="31">
        <f>B7/B4</f>
        <v>155.94254361904783</v>
      </c>
      <c r="E10" s="2">
        <f t="shared" si="2"/>
        <v>6</v>
      </c>
      <c r="F10" s="2">
        <f>Data!A55</f>
        <v>6</v>
      </c>
      <c r="G10" s="2">
        <f>IF(Data!B55&lt;&gt;" ",Data!B55," ")</f>
        <v>145</v>
      </c>
      <c r="H10" s="2">
        <f>IF(Data!C55=1,0.05,-1)</f>
        <v>-1</v>
      </c>
      <c r="I10" s="2">
        <f t="shared" si="3"/>
        <v>0.58</v>
      </c>
      <c r="J10" s="2">
        <f t="shared" si="0"/>
        <v>870</v>
      </c>
      <c r="K10" s="2">
        <f t="shared" si="1"/>
        <v>870</v>
      </c>
      <c r="L10" s="2">
        <f t="shared" si="4"/>
        <v>1.0113402687304711</v>
      </c>
      <c r="M10" s="2">
        <f t="shared" si="5"/>
        <v>0.7355908289241623</v>
      </c>
      <c r="N10" s="2">
        <f t="shared" si="6"/>
        <v>0.9550822784810126</v>
      </c>
      <c r="O10" s="2">
        <f aca="true" t="shared" si="8" ref="O10:O73">IF(AND(I6&gt;0,I15&gt;0),AVERAGE(I6:I15)," ")</f>
        <v>0.7160000000000001</v>
      </c>
      <c r="P10" s="2">
        <f t="shared" si="7"/>
        <v>198.68354430379745</v>
      </c>
    </row>
    <row r="11" spans="1:16" ht="15.75">
      <c r="A11" s="2" t="s">
        <v>45</v>
      </c>
      <c r="E11" s="2">
        <f t="shared" si="2"/>
        <v>7</v>
      </c>
      <c r="F11" s="2">
        <f>Data!A56</f>
        <v>7</v>
      </c>
      <c r="G11" s="2">
        <f>IF(Data!B56&lt;&gt;" ",Data!B56," ")</f>
        <v>200</v>
      </c>
      <c r="H11" s="2">
        <f>IF(Data!C56=1,0.05,-1)</f>
        <v>-1</v>
      </c>
      <c r="I11" s="2">
        <f t="shared" si="3"/>
        <v>0.8</v>
      </c>
      <c r="J11" s="2">
        <f t="shared" si="0"/>
        <v>1400</v>
      </c>
      <c r="K11" s="2">
        <f t="shared" si="1"/>
        <v>1400</v>
      </c>
      <c r="L11" s="2">
        <f t="shared" si="4"/>
        <v>1.0113402687304711</v>
      </c>
      <c r="M11" s="2">
        <f t="shared" si="5"/>
        <v>0.7355908289241623</v>
      </c>
      <c r="N11" s="2">
        <f t="shared" si="6"/>
        <v>0.9550822784810126</v>
      </c>
      <c r="O11" s="2">
        <f t="shared" si="8"/>
        <v>0.7420000000000001</v>
      </c>
      <c r="P11" s="2">
        <f t="shared" si="7"/>
        <v>231.79746835443035</v>
      </c>
    </row>
    <row r="12" spans="5:16" ht="15.75">
      <c r="E12" s="2">
        <f t="shared" si="2"/>
        <v>8</v>
      </c>
      <c r="F12" s="2">
        <f>Data!A57</f>
        <v>8</v>
      </c>
      <c r="G12" s="2">
        <f>IF(Data!B57&lt;&gt;" ",Data!B57," ")</f>
        <v>155</v>
      </c>
      <c r="H12" s="2">
        <f>IF(Data!C57=1,0.05,-1)</f>
        <v>-1</v>
      </c>
      <c r="I12" s="2">
        <f t="shared" si="3"/>
        <v>0.62</v>
      </c>
      <c r="J12" s="2">
        <f t="shared" si="0"/>
        <v>1240</v>
      </c>
      <c r="K12" s="2">
        <f t="shared" si="1"/>
        <v>1240</v>
      </c>
      <c r="L12" s="2">
        <f t="shared" si="4"/>
        <v>1.0113402687304711</v>
      </c>
      <c r="M12" s="2">
        <f t="shared" si="5"/>
        <v>0.7355908289241623</v>
      </c>
      <c r="N12" s="2">
        <f t="shared" si="6"/>
        <v>0.9550822784810126</v>
      </c>
      <c r="O12" s="2">
        <f t="shared" si="8"/>
        <v>0.7700000000000001</v>
      </c>
      <c r="P12" s="2">
        <f t="shared" si="7"/>
        <v>264.9113924050633</v>
      </c>
    </row>
    <row r="13" spans="1:16" ht="15.75">
      <c r="A13" s="2" t="s">
        <v>46</v>
      </c>
      <c r="B13" s="31">
        <f>(((Data!B36+Data!B37)^2)*3.14159)/43560</f>
        <v>493.55677077685954</v>
      </c>
      <c r="E13" s="2">
        <f t="shared" si="2"/>
        <v>9</v>
      </c>
      <c r="F13" s="2">
        <f>Data!A58</f>
        <v>9</v>
      </c>
      <c r="G13" s="2">
        <f>IF(Data!B58&lt;&gt;" ",Data!B58," ")</f>
        <v>195</v>
      </c>
      <c r="H13" s="2">
        <f>IF(Data!C58=1,0.05,-1)</f>
        <v>0.05</v>
      </c>
      <c r="I13" s="2">
        <f t="shared" si="3"/>
        <v>0.78</v>
      </c>
      <c r="J13" s="2">
        <f t="shared" si="0"/>
        <v>1755</v>
      </c>
      <c r="K13" s="2">
        <f t="shared" si="1"/>
        <v>1755</v>
      </c>
      <c r="L13" s="2">
        <f t="shared" si="4"/>
        <v>1.0113402687304711</v>
      </c>
      <c r="M13" s="2">
        <f t="shared" si="5"/>
        <v>0.7355908289241623</v>
      </c>
      <c r="N13" s="2">
        <f t="shared" si="6"/>
        <v>0.9550822784810126</v>
      </c>
      <c r="O13" s="2">
        <f t="shared" si="8"/>
        <v>0.7380000000000002</v>
      </c>
      <c r="P13" s="2">
        <f t="shared" si="7"/>
        <v>298.0253164556962</v>
      </c>
    </row>
    <row r="14" spans="1:16" ht="15.75">
      <c r="A14" s="2" t="s">
        <v>47</v>
      </c>
      <c r="E14" s="2">
        <f t="shared" si="2"/>
        <v>10</v>
      </c>
      <c r="F14" s="2">
        <f>Data!A59</f>
        <v>10</v>
      </c>
      <c r="G14" s="2">
        <f>IF(Data!B59&lt;&gt;" ",Data!B59," ")</f>
        <v>195</v>
      </c>
      <c r="H14" s="2">
        <f>IF(Data!C59=1,0.05,-1)</f>
        <v>-1</v>
      </c>
      <c r="I14" s="2">
        <f t="shared" si="3"/>
        <v>0.78</v>
      </c>
      <c r="J14" s="2">
        <f t="shared" si="0"/>
        <v>1950</v>
      </c>
      <c r="K14" s="2">
        <f t="shared" si="1"/>
        <v>1950</v>
      </c>
      <c r="L14" s="2">
        <f t="shared" si="4"/>
        <v>1.0113402687304711</v>
      </c>
      <c r="M14" s="2">
        <f t="shared" si="5"/>
        <v>0.7355908289241623</v>
      </c>
      <c r="N14" s="2">
        <f t="shared" si="6"/>
        <v>0.9550822784810126</v>
      </c>
      <c r="O14" s="2">
        <f t="shared" si="8"/>
        <v>0.7320000000000001</v>
      </c>
      <c r="P14" s="2">
        <f t="shared" si="7"/>
        <v>331.13924050632914</v>
      </c>
    </row>
    <row r="15" spans="5:16" ht="15.75">
      <c r="E15" s="2">
        <f t="shared" si="2"/>
        <v>0</v>
      </c>
      <c r="F15" s="2">
        <f>Data!A60</f>
        <v>11</v>
      </c>
      <c r="G15" s="2">
        <f>IF(Data!B60&lt;&gt;" ",Data!B60," ")</f>
        <v>215</v>
      </c>
      <c r="H15" s="2">
        <f>IF(Data!C60=1,0.05,-1)</f>
        <v>-1</v>
      </c>
      <c r="I15" s="2">
        <f t="shared" si="3"/>
        <v>0.86</v>
      </c>
      <c r="J15" s="2">
        <f t="shared" si="0"/>
        <v>2365</v>
      </c>
      <c r="K15" s="2">
        <f t="shared" si="1"/>
        <v>0</v>
      </c>
      <c r="L15" s="2">
        <f t="shared" si="4"/>
        <v>1.0113402687304711</v>
      </c>
      <c r="M15" s="2">
        <f t="shared" si="5"/>
        <v>0.7355908289241623</v>
      </c>
      <c r="N15" s="2">
        <f t="shared" si="6"/>
        <v>0.9550822784810126</v>
      </c>
      <c r="O15" s="2">
        <f t="shared" si="8"/>
        <v>0.748</v>
      </c>
      <c r="P15" s="2">
        <f t="shared" si="7"/>
        <v>364.2531645569621</v>
      </c>
    </row>
    <row r="16" spans="1:16" ht="15.75">
      <c r="A16" s="2" t="s">
        <v>48</v>
      </c>
      <c r="B16" s="32">
        <f>(B10*Data!B39)/(453*Calculations!B13)</f>
        <v>1.0113402687304711</v>
      </c>
      <c r="E16" s="2">
        <f t="shared" si="2"/>
        <v>12</v>
      </c>
      <c r="F16" s="2">
        <f>Data!A61</f>
        <v>12</v>
      </c>
      <c r="G16" s="2">
        <f>IF(Data!B61&lt;&gt;" ",Data!B61," ")</f>
        <v>155</v>
      </c>
      <c r="H16" s="2">
        <f>IF(Data!C61=1,0.05,-1)</f>
        <v>-1</v>
      </c>
      <c r="I16" s="2">
        <f t="shared" si="3"/>
        <v>0.62</v>
      </c>
      <c r="J16" s="2">
        <f t="shared" si="0"/>
        <v>1860</v>
      </c>
      <c r="K16" s="2">
        <f t="shared" si="1"/>
        <v>1860</v>
      </c>
      <c r="L16" s="2">
        <f t="shared" si="4"/>
        <v>1.0113402687304711</v>
      </c>
      <c r="M16" s="2">
        <f t="shared" si="5"/>
        <v>0.7355908289241623</v>
      </c>
      <c r="N16" s="2">
        <f t="shared" si="6"/>
        <v>0.9550822784810126</v>
      </c>
      <c r="O16" s="2">
        <f t="shared" si="8"/>
        <v>0.758</v>
      </c>
      <c r="P16" s="2">
        <f t="shared" si="7"/>
        <v>397.367088607595</v>
      </c>
    </row>
    <row r="17" spans="1:16" ht="15.75">
      <c r="A17" s="2" t="s">
        <v>49</v>
      </c>
      <c r="E17" s="2">
        <f t="shared" si="2"/>
        <v>13</v>
      </c>
      <c r="F17" s="2">
        <f>Data!A62</f>
        <v>13</v>
      </c>
      <c r="G17" s="2">
        <f>IF(Data!B62&lt;&gt;" ",Data!B62," ")</f>
        <v>195</v>
      </c>
      <c r="H17" s="2">
        <f>IF(Data!C62=1,0.05,-1)</f>
        <v>0.05</v>
      </c>
      <c r="I17" s="2">
        <f t="shared" si="3"/>
        <v>0.78</v>
      </c>
      <c r="J17" s="2">
        <f t="shared" si="0"/>
        <v>2535</v>
      </c>
      <c r="K17" s="2">
        <f t="shared" si="1"/>
        <v>2535</v>
      </c>
      <c r="L17" s="2">
        <f t="shared" si="4"/>
        <v>1.0113402687304711</v>
      </c>
      <c r="M17" s="2">
        <f t="shared" si="5"/>
        <v>0.7355908289241623</v>
      </c>
      <c r="N17" s="2">
        <f t="shared" si="6"/>
        <v>0.9550822784810126</v>
      </c>
      <c r="O17" s="2">
        <f t="shared" si="8"/>
        <v>0.7380000000000001</v>
      </c>
      <c r="P17" s="2">
        <f t="shared" si="7"/>
        <v>430.48101265822794</v>
      </c>
    </row>
    <row r="18" spans="5:16" ht="15.75">
      <c r="E18" s="2">
        <f t="shared" si="2"/>
        <v>14</v>
      </c>
      <c r="F18" s="2">
        <f>Data!A63</f>
        <v>14</v>
      </c>
      <c r="G18" s="2">
        <f>IF(Data!B63&lt;&gt;" ",Data!B63," ")</f>
        <v>185</v>
      </c>
      <c r="H18" s="2">
        <f>IF(Data!C63=1,0.05,-1)</f>
        <v>-1</v>
      </c>
      <c r="I18" s="2">
        <f t="shared" si="3"/>
        <v>0.74</v>
      </c>
      <c r="J18" s="2">
        <f t="shared" si="0"/>
        <v>2590</v>
      </c>
      <c r="K18" s="2">
        <f t="shared" si="1"/>
        <v>2590</v>
      </c>
      <c r="L18" s="2">
        <f t="shared" si="4"/>
        <v>1.0113402687304711</v>
      </c>
      <c r="M18" s="2">
        <f t="shared" si="5"/>
        <v>0.7355908289241623</v>
      </c>
      <c r="N18" s="2">
        <f t="shared" si="6"/>
        <v>0.9550822784810126</v>
      </c>
      <c r="O18" s="2">
        <f t="shared" si="8"/>
        <v>0.74</v>
      </c>
      <c r="P18" s="2">
        <f t="shared" si="7"/>
        <v>463.59493670886087</v>
      </c>
    </row>
    <row r="19" spans="1:16" ht="15.75">
      <c r="A19" s="2" t="s">
        <v>50</v>
      </c>
      <c r="B19" s="32">
        <f>J156/F156/250</f>
        <v>0.9550822784810126</v>
      </c>
      <c r="E19" s="2">
        <f t="shared" si="2"/>
        <v>15</v>
      </c>
      <c r="F19" s="2">
        <f>Data!A64</f>
        <v>15</v>
      </c>
      <c r="G19" s="2">
        <f>IF(Data!B64&lt;&gt;" ",Data!B64," ")</f>
        <v>190</v>
      </c>
      <c r="H19" s="2">
        <f>IF(Data!C64=1,0.05,-1)</f>
        <v>-1</v>
      </c>
      <c r="I19" s="2">
        <f t="shared" si="3"/>
        <v>0.76</v>
      </c>
      <c r="J19" s="2">
        <f t="shared" si="0"/>
        <v>2850</v>
      </c>
      <c r="K19" s="2">
        <f t="shared" si="1"/>
        <v>2850</v>
      </c>
      <c r="L19" s="2">
        <f t="shared" si="4"/>
        <v>1.0113402687304711</v>
      </c>
      <c r="M19" s="2">
        <f t="shared" si="5"/>
        <v>0.7355908289241623</v>
      </c>
      <c r="N19" s="2">
        <f t="shared" si="6"/>
        <v>0.9550822784810126</v>
      </c>
      <c r="O19" s="2">
        <f t="shared" si="8"/>
        <v>0.766</v>
      </c>
      <c r="P19" s="2">
        <f t="shared" si="7"/>
        <v>496.7088607594938</v>
      </c>
    </row>
    <row r="20" spans="1:16" ht="15.75">
      <c r="A20" s="2" t="s">
        <v>68</v>
      </c>
      <c r="E20" s="2">
        <f t="shared" si="2"/>
        <v>16</v>
      </c>
      <c r="F20" s="2">
        <f>Data!A65</f>
        <v>16</v>
      </c>
      <c r="G20" s="2">
        <f>IF(Data!B65&lt;&gt;" ",Data!B65," ")</f>
        <v>185</v>
      </c>
      <c r="H20" s="2">
        <f>IF(Data!C65=1,0.05,-1)</f>
        <v>-1</v>
      </c>
      <c r="I20" s="2">
        <f t="shared" si="3"/>
        <v>0.74</v>
      </c>
      <c r="J20" s="2">
        <f t="shared" si="0"/>
        <v>2960</v>
      </c>
      <c r="K20" s="2">
        <f t="shared" si="1"/>
        <v>2960</v>
      </c>
      <c r="L20" s="2">
        <f t="shared" si="4"/>
        <v>1.0113402687304711</v>
      </c>
      <c r="M20" s="2">
        <f t="shared" si="5"/>
        <v>0.7355908289241623</v>
      </c>
      <c r="N20" s="2">
        <f t="shared" si="6"/>
        <v>0.9550822784810126</v>
      </c>
      <c r="O20" s="2">
        <f t="shared" si="8"/>
        <v>0.774</v>
      </c>
      <c r="P20" s="2">
        <f t="shared" si="7"/>
        <v>529.8227848101267</v>
      </c>
    </row>
    <row r="21" spans="5:16" ht="15.75">
      <c r="E21" s="2">
        <f t="shared" si="2"/>
        <v>0</v>
      </c>
      <c r="F21" s="2">
        <f>Data!A66</f>
        <v>17</v>
      </c>
      <c r="G21" s="2">
        <f>IF(Data!B66&lt;&gt;" ",Data!B66," ")</f>
        <v>225</v>
      </c>
      <c r="H21" s="2">
        <f>IF(Data!C66=1,0.05,-1)</f>
        <v>0.05</v>
      </c>
      <c r="I21" s="2">
        <f t="shared" si="3"/>
        <v>0.9</v>
      </c>
      <c r="J21" s="2">
        <f t="shared" si="0"/>
        <v>3825</v>
      </c>
      <c r="K21" s="2">
        <f t="shared" si="1"/>
        <v>0</v>
      </c>
      <c r="L21" s="2">
        <f t="shared" si="4"/>
        <v>1.0113402687304711</v>
      </c>
      <c r="M21" s="2">
        <f t="shared" si="5"/>
        <v>0.7355908289241623</v>
      </c>
      <c r="N21" s="2">
        <f t="shared" si="6"/>
        <v>0.9550822784810126</v>
      </c>
      <c r="O21" s="2">
        <f t="shared" si="8"/>
        <v>0.8240000000000002</v>
      </c>
      <c r="P21" s="2">
        <f t="shared" si="7"/>
        <v>562.9367088607596</v>
      </c>
    </row>
    <row r="22" spans="1:16" ht="15.75">
      <c r="A22" s="2" t="s">
        <v>69</v>
      </c>
      <c r="B22" s="32">
        <f>K156/E156/250</f>
        <v>0.7355908289241623</v>
      </c>
      <c r="E22" s="2">
        <f t="shared" si="2"/>
        <v>18</v>
      </c>
      <c r="F22" s="2">
        <f>Data!A67</f>
        <v>18</v>
      </c>
      <c r="G22" s="2">
        <f>IF(Data!B67&lt;&gt;" ",Data!B67," ")</f>
        <v>105</v>
      </c>
      <c r="H22" s="2">
        <f>IF(Data!C67=1,0.05,-1)</f>
        <v>-1</v>
      </c>
      <c r="I22" s="2">
        <f t="shared" si="3"/>
        <v>0.42</v>
      </c>
      <c r="J22" s="2">
        <f t="shared" si="0"/>
        <v>1890</v>
      </c>
      <c r="K22" s="2">
        <f t="shared" si="1"/>
        <v>1890</v>
      </c>
      <c r="L22" s="2">
        <f t="shared" si="4"/>
        <v>1.0113402687304711</v>
      </c>
      <c r="M22" s="2">
        <f t="shared" si="5"/>
        <v>0.7355908289241623</v>
      </c>
      <c r="N22" s="2">
        <f t="shared" si="6"/>
        <v>0.9550822784810126</v>
      </c>
      <c r="O22" s="2">
        <f t="shared" si="8"/>
        <v>0.8480000000000001</v>
      </c>
      <c r="P22" s="2">
        <f t="shared" si="7"/>
        <v>596.0506329113925</v>
      </c>
    </row>
    <row r="23" spans="1:16" ht="15.75">
      <c r="A23" s="2" t="s">
        <v>70</v>
      </c>
      <c r="E23" s="2">
        <f t="shared" si="2"/>
        <v>19</v>
      </c>
      <c r="F23" s="2">
        <f>Data!A68</f>
        <v>19</v>
      </c>
      <c r="G23" s="2">
        <f>IF(Data!B68&lt;&gt;" ",Data!B68," ")</f>
        <v>200</v>
      </c>
      <c r="H23" s="2">
        <f>IF(Data!C68=1,0.05,-1)</f>
        <v>-1</v>
      </c>
      <c r="I23" s="2">
        <f t="shared" si="3"/>
        <v>0.8</v>
      </c>
      <c r="J23" s="2">
        <f t="shared" si="0"/>
        <v>3800</v>
      </c>
      <c r="K23" s="2">
        <f t="shared" si="1"/>
        <v>3800</v>
      </c>
      <c r="L23" s="2">
        <f t="shared" si="4"/>
        <v>1.0113402687304711</v>
      </c>
      <c r="M23" s="2">
        <f t="shared" si="5"/>
        <v>0.7355908289241623</v>
      </c>
      <c r="N23" s="2">
        <f t="shared" si="6"/>
        <v>0.9550822784810126</v>
      </c>
      <c r="O23" s="2">
        <f t="shared" si="8"/>
        <v>0.8560000000000001</v>
      </c>
      <c r="P23" s="2">
        <f t="shared" si="7"/>
        <v>629.1645569620255</v>
      </c>
    </row>
    <row r="24" spans="5:16" ht="15.75">
      <c r="E24" s="2">
        <f t="shared" si="2"/>
        <v>0</v>
      </c>
      <c r="F24" s="2">
        <f>Data!A69</f>
        <v>20</v>
      </c>
      <c r="G24" s="2">
        <f>IF(Data!B69&lt;&gt;" ",Data!B69," ")</f>
        <v>260</v>
      </c>
      <c r="H24" s="2">
        <f>IF(Data!C69=1,0.05,-1)</f>
        <v>-1</v>
      </c>
      <c r="I24" s="2">
        <f t="shared" si="3"/>
        <v>1.04</v>
      </c>
      <c r="J24" s="2">
        <f t="shared" si="0"/>
        <v>5200</v>
      </c>
      <c r="K24" s="2">
        <f t="shared" si="1"/>
        <v>0</v>
      </c>
      <c r="L24" s="2">
        <f t="shared" si="4"/>
        <v>1.0113402687304711</v>
      </c>
      <c r="M24" s="2">
        <f t="shared" si="5"/>
        <v>0.7355908289241623</v>
      </c>
      <c r="N24" s="2">
        <f t="shared" si="6"/>
        <v>0.9550822784810126</v>
      </c>
      <c r="O24" s="2">
        <f t="shared" si="8"/>
        <v>0.8720000000000001</v>
      </c>
      <c r="P24" s="2">
        <f t="shared" si="7"/>
        <v>662.2784810126584</v>
      </c>
    </row>
    <row r="25" spans="1:16" ht="15.75">
      <c r="A25" s="2" t="s">
        <v>71</v>
      </c>
      <c r="B25" s="33">
        <f>(B22)/B19</f>
        <v>0.770185821156754</v>
      </c>
      <c r="E25" s="2">
        <f t="shared" si="2"/>
        <v>0</v>
      </c>
      <c r="F25" s="2">
        <f>Data!A70</f>
        <v>21</v>
      </c>
      <c r="G25" s="2">
        <f>IF(Data!B70&lt;&gt;" ",Data!B70," ")</f>
        <v>235</v>
      </c>
      <c r="H25" s="2">
        <f>IF(Data!C70=1,0.05,-1)</f>
        <v>0.05</v>
      </c>
      <c r="I25" s="2">
        <f t="shared" si="3"/>
        <v>0.94</v>
      </c>
      <c r="J25" s="2">
        <f t="shared" si="0"/>
        <v>4935</v>
      </c>
      <c r="K25" s="2">
        <f t="shared" si="1"/>
        <v>0</v>
      </c>
      <c r="L25" s="2">
        <f t="shared" si="4"/>
        <v>1.0113402687304711</v>
      </c>
      <c r="M25" s="2">
        <f t="shared" si="5"/>
        <v>0.7355908289241623</v>
      </c>
      <c r="N25" s="2">
        <f t="shared" si="6"/>
        <v>0.9550822784810126</v>
      </c>
      <c r="O25" s="2">
        <f t="shared" si="8"/>
        <v>0.898</v>
      </c>
      <c r="P25" s="2">
        <f t="shared" si="7"/>
        <v>695.3924050632913</v>
      </c>
    </row>
    <row r="26" spans="1:16" ht="15.75">
      <c r="A26" s="2" t="s">
        <v>72</v>
      </c>
      <c r="E26" s="2">
        <f t="shared" si="2"/>
        <v>0</v>
      </c>
      <c r="F26" s="2">
        <f>Data!A71</f>
        <v>22</v>
      </c>
      <c r="G26" s="2">
        <f>IF(Data!B71&lt;&gt;" ",Data!B71," ")</f>
        <v>280</v>
      </c>
      <c r="H26" s="2">
        <f>IF(Data!C71=1,0.05,-1)</f>
        <v>-1</v>
      </c>
      <c r="I26" s="2">
        <f t="shared" si="3"/>
        <v>1.12</v>
      </c>
      <c r="J26" s="2">
        <f t="shared" si="0"/>
        <v>6160</v>
      </c>
      <c r="K26" s="2">
        <f t="shared" si="1"/>
        <v>0</v>
      </c>
      <c r="L26" s="2">
        <f t="shared" si="4"/>
        <v>1.0113402687304711</v>
      </c>
      <c r="M26" s="2">
        <f t="shared" si="5"/>
        <v>0.7355908289241623</v>
      </c>
      <c r="N26" s="2">
        <f t="shared" si="6"/>
        <v>0.9550822784810126</v>
      </c>
      <c r="O26" s="2">
        <f t="shared" si="8"/>
        <v>0.9099999999999999</v>
      </c>
      <c r="P26" s="2">
        <f t="shared" si="7"/>
        <v>728.5063291139243</v>
      </c>
    </row>
    <row r="27" spans="5:16" ht="15.75">
      <c r="E27" s="2">
        <f t="shared" si="2"/>
        <v>0</v>
      </c>
      <c r="F27" s="2">
        <f>Data!A72</f>
        <v>23</v>
      </c>
      <c r="G27" s="2">
        <f>IF(Data!B72&lt;&gt;" ",Data!B72," ")</f>
        <v>255</v>
      </c>
      <c r="H27" s="2">
        <f>IF(Data!C72=1,0.05,-1)</f>
        <v>-1</v>
      </c>
      <c r="I27" s="2">
        <f t="shared" si="3"/>
        <v>1.02</v>
      </c>
      <c r="J27" s="2">
        <f t="shared" si="0"/>
        <v>5865</v>
      </c>
      <c r="K27" s="2">
        <f t="shared" si="1"/>
        <v>0</v>
      </c>
      <c r="L27" s="2">
        <f t="shared" si="4"/>
        <v>1.0113402687304711</v>
      </c>
      <c r="M27" s="2">
        <f t="shared" si="5"/>
        <v>0.7355908289241623</v>
      </c>
      <c r="N27" s="2">
        <f t="shared" si="6"/>
        <v>0.9550822784810126</v>
      </c>
      <c r="O27" s="2">
        <f t="shared" si="8"/>
        <v>0.966</v>
      </c>
      <c r="P27" s="2">
        <f t="shared" si="7"/>
        <v>761.6202531645572</v>
      </c>
    </row>
    <row r="28" spans="1:16" ht="15.75">
      <c r="A28" s="2" t="s">
        <v>73</v>
      </c>
      <c r="B28" s="33">
        <f>B19/B16</f>
        <v>0.9443728367307288</v>
      </c>
      <c r="E28" s="2">
        <f t="shared" si="2"/>
        <v>24</v>
      </c>
      <c r="F28" s="2">
        <f>Data!A73</f>
        <v>24</v>
      </c>
      <c r="G28" s="2">
        <f>IF(Data!B73&lt;&gt;" ",Data!B73," ")</f>
        <v>205</v>
      </c>
      <c r="H28" s="2">
        <f>IF(Data!C73=1,0.05,-1)</f>
        <v>-1</v>
      </c>
      <c r="I28" s="2">
        <f t="shared" si="3"/>
        <v>0.82</v>
      </c>
      <c r="J28" s="2">
        <f t="shared" si="0"/>
        <v>4920</v>
      </c>
      <c r="K28" s="2">
        <f t="shared" si="1"/>
        <v>4920</v>
      </c>
      <c r="L28" s="2">
        <f t="shared" si="4"/>
        <v>1.0113402687304711</v>
      </c>
      <c r="M28" s="2">
        <f t="shared" si="5"/>
        <v>0.7355908289241623</v>
      </c>
      <c r="N28" s="2">
        <f t="shared" si="6"/>
        <v>0.9550822784810126</v>
      </c>
      <c r="O28" s="2">
        <f t="shared" si="8"/>
        <v>0.9880000000000001</v>
      </c>
      <c r="P28" s="2">
        <f t="shared" si="7"/>
        <v>794.7341772151901</v>
      </c>
    </row>
    <row r="29" spans="1:16" ht="15.75">
      <c r="A29" s="2" t="s">
        <v>74</v>
      </c>
      <c r="E29" s="2">
        <f t="shared" si="2"/>
        <v>0</v>
      </c>
      <c r="F29" s="2">
        <f>Data!A74</f>
        <v>25</v>
      </c>
      <c r="G29" s="2">
        <f>IF(Data!B74&lt;&gt;" ",Data!B74," ")</f>
        <v>230</v>
      </c>
      <c r="H29" s="2">
        <f>IF(Data!C74=1,0.05,-1)</f>
        <v>0.05</v>
      </c>
      <c r="I29" s="2">
        <f t="shared" si="3"/>
        <v>0.92</v>
      </c>
      <c r="J29" s="2">
        <f t="shared" si="0"/>
        <v>5750</v>
      </c>
      <c r="K29" s="2">
        <f t="shared" si="1"/>
        <v>0</v>
      </c>
      <c r="L29" s="2">
        <f t="shared" si="4"/>
        <v>1.0113402687304711</v>
      </c>
      <c r="M29" s="2">
        <f t="shared" si="5"/>
        <v>0.7355908289241623</v>
      </c>
      <c r="N29" s="2">
        <f t="shared" si="6"/>
        <v>0.9550822784810126</v>
      </c>
      <c r="O29" s="2">
        <f t="shared" si="8"/>
        <v>1</v>
      </c>
      <c r="P29" s="2">
        <f t="shared" si="7"/>
        <v>827.8481012658231</v>
      </c>
    </row>
    <row r="30" spans="5:16" ht="15.75">
      <c r="E30" s="2">
        <f t="shared" si="2"/>
        <v>0</v>
      </c>
      <c r="F30" s="2">
        <f>Data!A75</f>
        <v>26</v>
      </c>
      <c r="G30" s="2">
        <f>IF(Data!B75&lt;&gt;" ",Data!B75," ")</f>
        <v>250</v>
      </c>
      <c r="H30" s="2">
        <f>IF(Data!C75=1,0.05,-1)</f>
        <v>-1</v>
      </c>
      <c r="I30" s="2">
        <f t="shared" si="3"/>
        <v>1</v>
      </c>
      <c r="J30" s="2">
        <f t="shared" si="0"/>
        <v>6500</v>
      </c>
      <c r="K30" s="2">
        <f t="shared" si="1"/>
        <v>0</v>
      </c>
      <c r="L30" s="2">
        <f t="shared" si="4"/>
        <v>1.0113402687304711</v>
      </c>
      <c r="M30" s="2">
        <f t="shared" si="5"/>
        <v>0.7355908289241623</v>
      </c>
      <c r="N30" s="2">
        <f t="shared" si="6"/>
        <v>0.9550822784810126</v>
      </c>
      <c r="O30" s="2">
        <f t="shared" si="8"/>
        <v>0.998</v>
      </c>
      <c r="P30" s="2">
        <f t="shared" si="7"/>
        <v>860.962025316456</v>
      </c>
    </row>
    <row r="31" spans="1:16" ht="15.75">
      <c r="A31" s="2" t="s">
        <v>75</v>
      </c>
      <c r="B31" s="33">
        <f>B25*B28</f>
        <v>0.7273425687355896</v>
      </c>
      <c r="E31" s="2">
        <f t="shared" si="2"/>
        <v>0</v>
      </c>
      <c r="F31" s="2">
        <f>Data!A76</f>
        <v>27</v>
      </c>
      <c r="G31" s="2">
        <f>IF(Data!B76&lt;&gt;" ",Data!B76," ")</f>
        <v>255</v>
      </c>
      <c r="H31" s="2">
        <f>IF(Data!C76=1,0.05,-1)</f>
        <v>-1</v>
      </c>
      <c r="I31" s="2">
        <f t="shared" si="3"/>
        <v>1.02</v>
      </c>
      <c r="J31" s="2">
        <f t="shared" si="0"/>
        <v>6885</v>
      </c>
      <c r="K31" s="2">
        <f t="shared" si="1"/>
        <v>0</v>
      </c>
      <c r="L31" s="2">
        <f t="shared" si="4"/>
        <v>1.0113402687304711</v>
      </c>
      <c r="M31" s="2">
        <f t="shared" si="5"/>
        <v>0.7355908289241623</v>
      </c>
      <c r="N31" s="2">
        <f t="shared" si="6"/>
        <v>0.9550822784810126</v>
      </c>
      <c r="O31" s="2">
        <f t="shared" si="8"/>
        <v>0.9959999999999999</v>
      </c>
      <c r="P31" s="2">
        <f t="shared" si="7"/>
        <v>894.0759493670889</v>
      </c>
    </row>
    <row r="32" spans="1:16" ht="15.75">
      <c r="A32" s="2" t="s">
        <v>76</v>
      </c>
      <c r="E32" s="2">
        <f t="shared" si="2"/>
        <v>0</v>
      </c>
      <c r="F32" s="2">
        <f>Data!A77</f>
        <v>28</v>
      </c>
      <c r="G32" s="2">
        <f>IF(Data!B77&lt;&gt;" ",Data!B77," ")</f>
        <v>245</v>
      </c>
      <c r="H32" s="2">
        <f>IF(Data!C77=1,0.05,-1)</f>
        <v>-1</v>
      </c>
      <c r="I32" s="2">
        <f t="shared" si="3"/>
        <v>0.98</v>
      </c>
      <c r="J32" s="2">
        <f t="shared" si="0"/>
        <v>6860</v>
      </c>
      <c r="K32" s="2">
        <f t="shared" si="1"/>
        <v>0</v>
      </c>
      <c r="L32" s="2">
        <f t="shared" si="4"/>
        <v>1.0113402687304711</v>
      </c>
      <c r="M32" s="2">
        <f t="shared" si="5"/>
        <v>0.7355908289241623</v>
      </c>
      <c r="N32" s="2">
        <f t="shared" si="6"/>
        <v>0.9550822784810126</v>
      </c>
      <c r="O32" s="2">
        <f t="shared" si="8"/>
        <v>0.9899999999999999</v>
      </c>
      <c r="P32" s="2">
        <f t="shared" si="7"/>
        <v>927.1898734177219</v>
      </c>
    </row>
    <row r="33" spans="5:16" ht="15.75">
      <c r="E33" s="2">
        <f t="shared" si="2"/>
        <v>0</v>
      </c>
      <c r="F33" s="2">
        <f>Data!A78</f>
        <v>29</v>
      </c>
      <c r="G33" s="2">
        <f>IF(Data!B78&lt;&gt;" ",Data!B78," ")</f>
        <v>255</v>
      </c>
      <c r="H33" s="2">
        <f>IF(Data!C78=1,0.05,-1)</f>
        <v>0.05</v>
      </c>
      <c r="I33" s="2">
        <f t="shared" si="3"/>
        <v>1.02</v>
      </c>
      <c r="J33" s="2">
        <f t="shared" si="0"/>
        <v>7395</v>
      </c>
      <c r="K33" s="2">
        <f t="shared" si="1"/>
        <v>0</v>
      </c>
      <c r="L33" s="2">
        <f t="shared" si="4"/>
        <v>1.0113402687304711</v>
      </c>
      <c r="M33" s="2">
        <f t="shared" si="5"/>
        <v>0.7355908289241623</v>
      </c>
      <c r="N33" s="2">
        <f t="shared" si="6"/>
        <v>0.9550822784810126</v>
      </c>
      <c r="O33" s="2">
        <f t="shared" si="8"/>
        <v>1.0239999999999998</v>
      </c>
      <c r="P33" s="2">
        <f t="shared" si="7"/>
        <v>960.3037974683548</v>
      </c>
    </row>
    <row r="34" spans="1:16" ht="15.75">
      <c r="A34" s="2" t="s">
        <v>77</v>
      </c>
      <c r="B34" s="32">
        <f>(100-Data!B24)*Data!B25/100</f>
        <v>0.252</v>
      </c>
      <c r="E34" s="2">
        <f t="shared" si="2"/>
        <v>0</v>
      </c>
      <c r="F34" s="2">
        <f>Data!A79</f>
        <v>30</v>
      </c>
      <c r="G34" s="2">
        <f>IF(Data!B79&lt;&gt;" ",Data!B79," ")</f>
        <v>290</v>
      </c>
      <c r="H34" s="2">
        <f>IF(Data!C79=1,0.05,-1)</f>
        <v>-1</v>
      </c>
      <c r="I34" s="2">
        <f t="shared" si="3"/>
        <v>1.16</v>
      </c>
      <c r="J34" s="2">
        <f t="shared" si="0"/>
        <v>8700</v>
      </c>
      <c r="K34" s="2">
        <f t="shared" si="1"/>
        <v>0</v>
      </c>
      <c r="L34" s="2">
        <f t="shared" si="4"/>
        <v>1.0113402687304711</v>
      </c>
      <c r="M34" s="2">
        <f t="shared" si="5"/>
        <v>0.7355908289241623</v>
      </c>
      <c r="N34" s="2">
        <f t="shared" si="6"/>
        <v>0.9550822784810126</v>
      </c>
      <c r="O34" s="2">
        <f t="shared" si="8"/>
        <v>1.034</v>
      </c>
      <c r="P34" s="2">
        <f t="shared" si="7"/>
        <v>993.4177215189877</v>
      </c>
    </row>
    <row r="35" spans="1:16" ht="15.75">
      <c r="A35" s="2" t="s">
        <v>78</v>
      </c>
      <c r="E35" s="2">
        <f t="shared" si="2"/>
        <v>0</v>
      </c>
      <c r="F35" s="2">
        <f>Data!A80</f>
        <v>31</v>
      </c>
      <c r="G35" s="2">
        <f>IF(Data!B80&lt;&gt;" ",Data!B80," ")</f>
        <v>230</v>
      </c>
      <c r="H35" s="2">
        <f>IF(Data!C80=1,0.05,-1)</f>
        <v>-1</v>
      </c>
      <c r="I35" s="2">
        <f t="shared" si="3"/>
        <v>0.92</v>
      </c>
      <c r="J35" s="2">
        <f t="shared" si="0"/>
        <v>7130</v>
      </c>
      <c r="K35" s="2">
        <f t="shared" si="1"/>
        <v>0</v>
      </c>
      <c r="L35" s="2">
        <f t="shared" si="4"/>
        <v>1.0113402687304711</v>
      </c>
      <c r="M35" s="2">
        <f t="shared" si="5"/>
        <v>0.7355908289241623</v>
      </c>
      <c r="N35" s="2">
        <f t="shared" si="6"/>
        <v>0.9550822784810126</v>
      </c>
      <c r="O35" s="2">
        <f t="shared" si="8"/>
        <v>1.0379999999999998</v>
      </c>
      <c r="P35" s="2">
        <f t="shared" si="7"/>
        <v>1026.5316455696207</v>
      </c>
    </row>
    <row r="36" spans="5:16" ht="15.75">
      <c r="E36" s="2">
        <f t="shared" si="2"/>
        <v>0</v>
      </c>
      <c r="F36" s="2">
        <f>Data!A81</f>
        <v>32</v>
      </c>
      <c r="G36" s="2">
        <f>IF(Data!B81&lt;&gt;" ",Data!B81," ")</f>
        <v>275</v>
      </c>
      <c r="H36" s="2">
        <f>IF(Data!C81=1,0.05,-1)</f>
        <v>-1</v>
      </c>
      <c r="I36" s="2">
        <f t="shared" si="3"/>
        <v>1.1</v>
      </c>
      <c r="J36" s="2">
        <f t="shared" si="0"/>
        <v>8800</v>
      </c>
      <c r="K36" s="2">
        <f t="shared" si="1"/>
        <v>0</v>
      </c>
      <c r="L36" s="2">
        <f t="shared" si="4"/>
        <v>1.0113402687304711</v>
      </c>
      <c r="M36" s="2">
        <f t="shared" si="5"/>
        <v>0.7355908289241623</v>
      </c>
      <c r="N36" s="2">
        <f t="shared" si="6"/>
        <v>0.9550822784810126</v>
      </c>
      <c r="O36" s="2">
        <f t="shared" si="8"/>
        <v>1.0379999999999998</v>
      </c>
      <c r="P36" s="2">
        <f t="shared" si="7"/>
        <v>1059.6455696202536</v>
      </c>
    </row>
    <row r="37" spans="1:16" ht="15.75">
      <c r="A37" s="2" t="s">
        <v>79</v>
      </c>
      <c r="E37" s="2">
        <f t="shared" si="2"/>
        <v>0</v>
      </c>
      <c r="F37" s="2">
        <f>Data!A82</f>
        <v>33</v>
      </c>
      <c r="G37" s="2">
        <f>IF(Data!B82&lt;&gt;" ",Data!B82," ")</f>
        <v>240</v>
      </c>
      <c r="H37" s="2">
        <f>IF(Data!C82=1,0.05,-1)</f>
        <v>0.05</v>
      </c>
      <c r="I37" s="2">
        <f t="shared" si="3"/>
        <v>0.96</v>
      </c>
      <c r="J37" s="2">
        <f t="shared" si="0"/>
        <v>7920</v>
      </c>
      <c r="K37" s="2">
        <f t="shared" si="1"/>
        <v>0</v>
      </c>
      <c r="L37" s="2">
        <f t="shared" si="4"/>
        <v>1.0113402687304711</v>
      </c>
      <c r="M37" s="2">
        <f t="shared" si="5"/>
        <v>0.7355908289241623</v>
      </c>
      <c r="N37" s="2">
        <f t="shared" si="6"/>
        <v>0.9550822784810126</v>
      </c>
      <c r="O37" s="2">
        <f t="shared" si="8"/>
        <v>1.0379999999999998</v>
      </c>
      <c r="P37" s="2">
        <f t="shared" si="7"/>
        <v>1092.7594936708865</v>
      </c>
    </row>
    <row r="38" spans="1:16" ht="15.75">
      <c r="A38" s="2" t="s">
        <v>80</v>
      </c>
      <c r="B38" s="31">
        <f>B13*Data!B45</f>
        <v>493.55677077685954</v>
      </c>
      <c r="E38" s="2">
        <f t="shared" si="2"/>
        <v>0</v>
      </c>
      <c r="F38" s="2">
        <f>Data!A83</f>
        <v>34</v>
      </c>
      <c r="G38" s="2">
        <f>IF(Data!B83&lt;&gt;" ",Data!B83," ")</f>
        <v>290</v>
      </c>
      <c r="H38" s="2">
        <f>IF(Data!C83=1,0.05,-1)</f>
        <v>-1</v>
      </c>
      <c r="I38" s="2">
        <f t="shared" si="3"/>
        <v>1.16</v>
      </c>
      <c r="J38" s="2">
        <f t="shared" si="0"/>
        <v>9860</v>
      </c>
      <c r="K38" s="2">
        <f t="shared" si="1"/>
        <v>0</v>
      </c>
      <c r="L38" s="2">
        <f t="shared" si="4"/>
        <v>1.0113402687304711</v>
      </c>
      <c r="M38" s="2">
        <f t="shared" si="5"/>
        <v>0.7355908289241623</v>
      </c>
      <c r="N38" s="2">
        <f t="shared" si="6"/>
        <v>0.9550822784810126</v>
      </c>
      <c r="O38" s="2">
        <f t="shared" si="8"/>
        <v>0.9700000000000001</v>
      </c>
      <c r="P38" s="2">
        <f t="shared" si="7"/>
        <v>1125.8734177215194</v>
      </c>
    </row>
    <row r="39" spans="1:16" ht="15.75">
      <c r="A39" s="2" t="s">
        <v>81</v>
      </c>
      <c r="B39" s="31">
        <f>B10*Data!B45</f>
        <v>155.94254361904783</v>
      </c>
      <c r="E39" s="2">
        <f t="shared" si="2"/>
        <v>0</v>
      </c>
      <c r="F39" s="2">
        <f>Data!A84</f>
        <v>35</v>
      </c>
      <c r="G39" s="2">
        <f>IF(Data!B84&lt;&gt;" ",Data!B84," ")</f>
        <v>255</v>
      </c>
      <c r="H39" s="2">
        <f>IF(Data!C84=1,0.05,-1)</f>
        <v>-1</v>
      </c>
      <c r="I39" s="2">
        <f t="shared" si="3"/>
        <v>1.02</v>
      </c>
      <c r="J39" s="2">
        <f t="shared" si="0"/>
        <v>8925</v>
      </c>
      <c r="K39" s="2">
        <f t="shared" si="1"/>
        <v>0</v>
      </c>
      <c r="L39" s="2">
        <f t="shared" si="4"/>
        <v>1.0113402687304711</v>
      </c>
      <c r="M39" s="2">
        <f t="shared" si="5"/>
        <v>0.7355908289241623</v>
      </c>
      <c r="N39" s="2">
        <f t="shared" si="6"/>
        <v>0.9550822784810126</v>
      </c>
      <c r="O39" s="2">
        <f t="shared" si="8"/>
        <v>0.9560000000000001</v>
      </c>
      <c r="P39" s="2">
        <f t="shared" si="7"/>
        <v>1158.9873417721524</v>
      </c>
    </row>
    <row r="40" spans="5:16" ht="15.75">
      <c r="E40" s="2">
        <f t="shared" si="2"/>
        <v>0</v>
      </c>
      <c r="F40" s="2">
        <f>Data!A85</f>
        <v>36</v>
      </c>
      <c r="G40" s="2">
        <f>IF(Data!B85&lt;&gt;" ",Data!B85," ")</f>
        <v>260</v>
      </c>
      <c r="H40" s="2">
        <f>IF(Data!C85=1,0.05,-1)</f>
        <v>-1</v>
      </c>
      <c r="I40" s="2">
        <f t="shared" si="3"/>
        <v>1.04</v>
      </c>
      <c r="J40" s="2">
        <f t="shared" si="0"/>
        <v>9360</v>
      </c>
      <c r="K40" s="2">
        <f t="shared" si="1"/>
        <v>0</v>
      </c>
      <c r="L40" s="2">
        <f t="shared" si="4"/>
        <v>1.0113402687304711</v>
      </c>
      <c r="M40" s="2">
        <f t="shared" si="5"/>
        <v>0.7355908289241623</v>
      </c>
      <c r="N40" s="2">
        <f t="shared" si="6"/>
        <v>0.9550822784810126</v>
      </c>
      <c r="O40" s="2">
        <f t="shared" si="8"/>
        <v>0.9760000000000002</v>
      </c>
      <c r="P40" s="2">
        <f t="shared" si="7"/>
        <v>1192.1012658227853</v>
      </c>
    </row>
    <row r="41" spans="1:16" ht="15.75">
      <c r="A41" s="2" t="s">
        <v>82</v>
      </c>
      <c r="B41" s="32">
        <f>(1/B13)*Data!B39*12*1440/(7.48*43560)</f>
        <v>0.15580635131527268</v>
      </c>
      <c r="E41" s="2">
        <f t="shared" si="2"/>
        <v>0</v>
      </c>
      <c r="F41" s="2">
        <f>Data!A86</f>
        <v>37</v>
      </c>
      <c r="G41" s="2">
        <f>IF(Data!B86&lt;&gt;" ",Data!B86," ")</f>
        <v>255</v>
      </c>
      <c r="H41" s="2">
        <f>IF(Data!C86=1,0.05,-1)</f>
        <v>-1</v>
      </c>
      <c r="I41" s="2">
        <f t="shared" si="3"/>
        <v>1.02</v>
      </c>
      <c r="J41" s="2">
        <f t="shared" si="0"/>
        <v>9435</v>
      </c>
      <c r="K41" s="2">
        <f t="shared" si="1"/>
        <v>0</v>
      </c>
      <c r="L41" s="2">
        <f t="shared" si="4"/>
        <v>1.0113402687304711</v>
      </c>
      <c r="M41" s="2">
        <f t="shared" si="5"/>
        <v>0.7355908289241623</v>
      </c>
      <c r="N41" s="2">
        <f t="shared" si="6"/>
        <v>0.9550822784810126</v>
      </c>
      <c r="O41" s="2">
        <f t="shared" si="8"/>
        <v>0.9640000000000001</v>
      </c>
      <c r="P41" s="2">
        <f t="shared" si="7"/>
        <v>1225.2151898734182</v>
      </c>
    </row>
    <row r="42" spans="5:16" ht="15.75">
      <c r="E42" s="2">
        <f t="shared" si="2"/>
        <v>0</v>
      </c>
      <c r="F42" s="2">
        <f>Data!A87</f>
        <v>38</v>
      </c>
      <c r="G42" s="2">
        <f>IF(Data!B87&lt;&gt;" ",Data!B87," ")</f>
        <v>245</v>
      </c>
      <c r="H42" s="2">
        <f>IF(Data!C87=1,0.05,-1)</f>
        <v>0.05</v>
      </c>
      <c r="I42" s="2">
        <f t="shared" si="3"/>
        <v>0.98</v>
      </c>
      <c r="J42" s="2">
        <f t="shared" si="0"/>
        <v>9310</v>
      </c>
      <c r="K42" s="2">
        <f t="shared" si="1"/>
        <v>0</v>
      </c>
      <c r="L42" s="2">
        <f t="shared" si="4"/>
        <v>1.0113402687304711</v>
      </c>
      <c r="M42" s="2">
        <f t="shared" si="5"/>
        <v>0.7355908289241623</v>
      </c>
      <c r="N42" s="2">
        <f t="shared" si="6"/>
        <v>0.9550822784810126</v>
      </c>
      <c r="O42" s="2">
        <f t="shared" si="8"/>
        <v>0.958</v>
      </c>
      <c r="P42" s="2">
        <f t="shared" si="7"/>
        <v>1258.3291139240512</v>
      </c>
    </row>
    <row r="43" spans="1:16" ht="15.75">
      <c r="A43" s="2" t="s">
        <v>83</v>
      </c>
      <c r="B43" s="2">
        <f>COUNT(Data!B50:B200)</f>
        <v>79</v>
      </c>
      <c r="E43" s="2">
        <f t="shared" si="2"/>
        <v>39</v>
      </c>
      <c r="F43" s="2">
        <f>Data!A88</f>
        <v>39</v>
      </c>
      <c r="G43" s="2">
        <f>IF(Data!B88&lt;&gt;" ",Data!B88," ")</f>
        <v>85</v>
      </c>
      <c r="H43" s="2">
        <f>IF(Data!C88=1,0.05,-1)</f>
        <v>-1</v>
      </c>
      <c r="I43" s="2">
        <f t="shared" si="3"/>
        <v>0.34</v>
      </c>
      <c r="J43" s="2">
        <f t="shared" si="0"/>
        <v>3315</v>
      </c>
      <c r="K43" s="2">
        <f t="shared" si="1"/>
        <v>3315</v>
      </c>
      <c r="L43" s="2">
        <f t="shared" si="4"/>
        <v>1.0113402687304711</v>
      </c>
      <c r="M43" s="2">
        <f t="shared" si="5"/>
        <v>0.7355908289241623</v>
      </c>
      <c r="N43" s="2">
        <f t="shared" si="6"/>
        <v>0.9550822784810126</v>
      </c>
      <c r="O43" s="2">
        <f t="shared" si="8"/>
        <v>0.95</v>
      </c>
      <c r="P43" s="2">
        <f t="shared" si="7"/>
        <v>1291.443037974684</v>
      </c>
    </row>
    <row r="44" spans="1:16" ht="15.75">
      <c r="A44" s="2" t="s">
        <v>84</v>
      </c>
      <c r="B44" s="2">
        <f>INT(B43/4)</f>
        <v>19</v>
      </c>
      <c r="E44" s="2">
        <f t="shared" si="2"/>
        <v>0</v>
      </c>
      <c r="F44" s="2">
        <f>Data!A89</f>
        <v>40</v>
      </c>
      <c r="G44" s="2">
        <f>IF(Data!B89&lt;&gt;" ",Data!B89," ")</f>
        <v>255</v>
      </c>
      <c r="H44" s="2">
        <f>IF(Data!C89=1,0.05,-1)</f>
        <v>-1</v>
      </c>
      <c r="I44" s="2">
        <f t="shared" si="3"/>
        <v>1.02</v>
      </c>
      <c r="J44" s="2">
        <f t="shared" si="0"/>
        <v>10200</v>
      </c>
      <c r="K44" s="2">
        <f t="shared" si="1"/>
        <v>0</v>
      </c>
      <c r="L44" s="2">
        <f t="shared" si="4"/>
        <v>1.0113402687304711</v>
      </c>
      <c r="M44" s="2">
        <f t="shared" si="5"/>
        <v>0.7355908289241623</v>
      </c>
      <c r="N44" s="2">
        <f t="shared" si="6"/>
        <v>0.9550822784810126</v>
      </c>
      <c r="O44" s="2">
        <f t="shared" si="8"/>
        <v>0.95</v>
      </c>
      <c r="P44" s="2">
        <f t="shared" si="7"/>
        <v>1324.556962025317</v>
      </c>
    </row>
    <row r="45" spans="1:16" ht="15.75">
      <c r="A45" s="2" t="s">
        <v>85</v>
      </c>
      <c r="B45" s="2">
        <f>SMALL(Data!B50:B200,Calculations!B44)</f>
        <v>205</v>
      </c>
      <c r="E45" s="2">
        <f t="shared" si="2"/>
        <v>0</v>
      </c>
      <c r="F45" s="2">
        <f>Data!A90</f>
        <v>41</v>
      </c>
      <c r="G45" s="2">
        <f>IF(Data!B90&lt;&gt;" ",Data!B90," ")</f>
        <v>280</v>
      </c>
      <c r="H45" s="2">
        <f>IF(Data!C90=1,0.05,-1)</f>
        <v>-1</v>
      </c>
      <c r="I45" s="2">
        <f t="shared" si="3"/>
        <v>1.12</v>
      </c>
      <c r="J45" s="2">
        <f t="shared" si="0"/>
        <v>11480</v>
      </c>
      <c r="K45" s="2">
        <f t="shared" si="1"/>
        <v>0</v>
      </c>
      <c r="L45" s="2">
        <f t="shared" si="4"/>
        <v>1.0113402687304711</v>
      </c>
      <c r="M45" s="2">
        <f t="shared" si="5"/>
        <v>0.7355908289241623</v>
      </c>
      <c r="N45" s="2">
        <f t="shared" si="6"/>
        <v>0.9550822784810126</v>
      </c>
      <c r="O45" s="2">
        <f t="shared" si="8"/>
        <v>0.9620000000000001</v>
      </c>
      <c r="P45" s="2">
        <f t="shared" si="7"/>
        <v>1357.67088607595</v>
      </c>
    </row>
    <row r="46" spans="5:16" ht="15.75">
      <c r="E46" s="2">
        <f t="shared" si="2"/>
        <v>0</v>
      </c>
      <c r="F46" s="2">
        <f>Data!A91</f>
        <v>42</v>
      </c>
      <c r="G46" s="2">
        <f>IF(Data!B91&lt;&gt;" ",Data!B91," ")</f>
        <v>245</v>
      </c>
      <c r="H46" s="2">
        <f>IF(Data!C91=1,0.05,-1)</f>
        <v>-1</v>
      </c>
      <c r="I46" s="2">
        <f t="shared" si="3"/>
        <v>0.98</v>
      </c>
      <c r="J46" s="2">
        <f>IF(G46&lt;&gt;0,(F46*G46),0)</f>
        <v>10290</v>
      </c>
      <c r="K46" s="2">
        <f t="shared" si="1"/>
        <v>0</v>
      </c>
      <c r="L46" s="2">
        <f t="shared" si="4"/>
        <v>1.0113402687304711</v>
      </c>
      <c r="M46" s="2">
        <f t="shared" si="5"/>
        <v>0.7355908289241623</v>
      </c>
      <c r="N46" s="2">
        <f t="shared" si="6"/>
        <v>0.9550822784810126</v>
      </c>
      <c r="O46" s="2">
        <f t="shared" si="8"/>
        <v>0.966</v>
      </c>
      <c r="P46" s="2">
        <f t="shared" si="7"/>
        <v>1390.784810126583</v>
      </c>
    </row>
    <row r="47" spans="5:16" ht="15.75">
      <c r="E47" s="2">
        <f t="shared" si="2"/>
        <v>0</v>
      </c>
      <c r="F47" s="2">
        <f>Data!A92</f>
        <v>43</v>
      </c>
      <c r="G47" s="2">
        <f>IF(Data!B92&lt;&gt;" ",Data!B92," ")</f>
        <v>225</v>
      </c>
      <c r="H47" s="2">
        <f>IF(Data!C92=1,0.05,-1)</f>
        <v>0.05</v>
      </c>
      <c r="I47" s="2">
        <f t="shared" si="3"/>
        <v>0.9</v>
      </c>
      <c r="J47" s="2">
        <f aca="true" t="shared" si="9" ref="J47:J110">IF(G47&lt;&gt;0,(F47*G47),0)</f>
        <v>9675</v>
      </c>
      <c r="K47" s="2">
        <f>IF(G47&lt;&gt;0,E47*G47,0)</f>
        <v>0</v>
      </c>
      <c r="L47" s="2">
        <f t="shared" si="4"/>
        <v>1.0113402687304711</v>
      </c>
      <c r="M47" s="2">
        <f t="shared" si="5"/>
        <v>0.7355908289241623</v>
      </c>
      <c r="N47" s="2">
        <f t="shared" si="6"/>
        <v>0.9550822784810126</v>
      </c>
      <c r="O47" s="2">
        <f t="shared" si="8"/>
        <v>0.9820000000000002</v>
      </c>
      <c r="P47" s="2">
        <f t="shared" si="7"/>
        <v>1423.8987341772158</v>
      </c>
    </row>
    <row r="48" spans="5:16" ht="15.75">
      <c r="E48" s="2">
        <f t="shared" si="2"/>
        <v>0</v>
      </c>
      <c r="F48" s="2">
        <f>Data!A93</f>
        <v>44</v>
      </c>
      <c r="G48" s="2">
        <f>IF(Data!B93&lt;&gt;" ",Data!B93," ")</f>
        <v>270</v>
      </c>
      <c r="H48" s="2">
        <f>IF(Data!C93=1,0.05,-1)</f>
        <v>-1</v>
      </c>
      <c r="I48" s="2">
        <f t="shared" si="3"/>
        <v>1.08</v>
      </c>
      <c r="J48" s="2">
        <f t="shared" si="9"/>
        <v>11880</v>
      </c>
      <c r="K48" s="2">
        <f aca="true" t="shared" si="10" ref="K48:K111">IF(G48&lt;&gt;0,E48*G48,0)</f>
        <v>0</v>
      </c>
      <c r="L48" s="2">
        <f t="shared" si="4"/>
        <v>1.0113402687304711</v>
      </c>
      <c r="M48" s="2">
        <f t="shared" si="5"/>
        <v>0.7355908289241623</v>
      </c>
      <c r="N48" s="2">
        <f t="shared" si="6"/>
        <v>0.9550822784810126</v>
      </c>
      <c r="O48" s="2">
        <f t="shared" si="8"/>
        <v>1.0800000000000003</v>
      </c>
      <c r="P48" s="2">
        <f t="shared" si="7"/>
        <v>1457.0126582278488</v>
      </c>
    </row>
    <row r="49" spans="5:16" ht="15.75">
      <c r="E49" s="2">
        <f t="shared" si="2"/>
        <v>0</v>
      </c>
      <c r="F49" s="2">
        <f>Data!A94</f>
        <v>45</v>
      </c>
      <c r="G49" s="2">
        <f>IF(Data!B94&lt;&gt;" ",Data!B94," ")</f>
        <v>255</v>
      </c>
      <c r="H49" s="2">
        <f>IF(Data!C94=1,0.05,-1)</f>
        <v>-1</v>
      </c>
      <c r="I49" s="2">
        <f t="shared" si="3"/>
        <v>1.02</v>
      </c>
      <c r="J49" s="2">
        <f t="shared" si="9"/>
        <v>11475</v>
      </c>
      <c r="K49" s="2">
        <f t="shared" si="10"/>
        <v>0</v>
      </c>
      <c r="L49" s="2">
        <f t="shared" si="4"/>
        <v>1.0113402687304711</v>
      </c>
      <c r="M49" s="2">
        <f t="shared" si="5"/>
        <v>0.7355908289241623</v>
      </c>
      <c r="N49" s="2">
        <f t="shared" si="6"/>
        <v>0.9550822784810126</v>
      </c>
      <c r="O49" s="2">
        <f t="shared" si="8"/>
        <v>1.082</v>
      </c>
      <c r="P49" s="2">
        <f t="shared" si="7"/>
        <v>1490.1265822784817</v>
      </c>
    </row>
    <row r="50" spans="5:16" ht="15.75">
      <c r="E50" s="2">
        <f t="shared" si="2"/>
        <v>0</v>
      </c>
      <c r="F50" s="2">
        <f>Data!A95</f>
        <v>46</v>
      </c>
      <c r="G50" s="2">
        <f>IF(Data!B95&lt;&gt;" ",Data!B95," ")</f>
        <v>290</v>
      </c>
      <c r="H50" s="2">
        <f>IF(Data!C95=1,0.05,-1)</f>
        <v>-1</v>
      </c>
      <c r="I50" s="2">
        <f t="shared" si="3"/>
        <v>1.16</v>
      </c>
      <c r="J50" s="2">
        <f t="shared" si="9"/>
        <v>13340</v>
      </c>
      <c r="K50" s="2">
        <f t="shared" si="10"/>
        <v>0</v>
      </c>
      <c r="L50" s="2">
        <f t="shared" si="4"/>
        <v>1.0113402687304711</v>
      </c>
      <c r="M50" s="2">
        <f t="shared" si="5"/>
        <v>0.7355908289241623</v>
      </c>
      <c r="N50" s="2">
        <f t="shared" si="6"/>
        <v>0.9550822784810126</v>
      </c>
      <c r="O50" s="2">
        <f t="shared" si="8"/>
        <v>1.0699999999999998</v>
      </c>
      <c r="P50" s="2">
        <f t="shared" si="7"/>
        <v>1523.2405063291146</v>
      </c>
    </row>
    <row r="51" spans="5:16" ht="15.75">
      <c r="E51" s="2">
        <f t="shared" si="2"/>
        <v>0</v>
      </c>
      <c r="F51" s="2">
        <f>Data!A96</f>
        <v>47</v>
      </c>
      <c r="G51" s="2">
        <f>IF(Data!B96&lt;&gt;" ",Data!B96," ")</f>
        <v>265</v>
      </c>
      <c r="H51" s="2">
        <f>IF(Data!C96=1,0.05,-1)</f>
        <v>-1</v>
      </c>
      <c r="I51" s="2">
        <f t="shared" si="3"/>
        <v>1.06</v>
      </c>
      <c r="J51" s="2">
        <f t="shared" si="9"/>
        <v>12455</v>
      </c>
      <c r="K51" s="2">
        <f t="shared" si="10"/>
        <v>0</v>
      </c>
      <c r="L51" s="2">
        <f t="shared" si="4"/>
        <v>1.0113402687304711</v>
      </c>
      <c r="M51" s="2">
        <f t="shared" si="5"/>
        <v>0.7355908289241623</v>
      </c>
      <c r="N51" s="2">
        <f t="shared" si="6"/>
        <v>0.9550822784810126</v>
      </c>
      <c r="O51" s="2">
        <f t="shared" si="8"/>
        <v>1.076</v>
      </c>
      <c r="P51" s="2">
        <f t="shared" si="7"/>
        <v>1556.3544303797476</v>
      </c>
    </row>
    <row r="52" spans="5:16" ht="15.75">
      <c r="E52" s="2">
        <f t="shared" si="2"/>
        <v>0</v>
      </c>
      <c r="F52" s="2">
        <f>Data!A97</f>
        <v>48</v>
      </c>
      <c r="G52" s="2">
        <f>IF(Data!B97&lt;&gt;" ",Data!B97," ")</f>
        <v>285</v>
      </c>
      <c r="H52" s="2">
        <f>IF(Data!C97=1,0.05,-1)</f>
        <v>0.05</v>
      </c>
      <c r="I52" s="2">
        <f t="shared" si="3"/>
        <v>1.14</v>
      </c>
      <c r="J52" s="2">
        <f t="shared" si="9"/>
        <v>13680</v>
      </c>
      <c r="K52" s="2">
        <f t="shared" si="10"/>
        <v>0</v>
      </c>
      <c r="L52" s="2">
        <f t="shared" si="4"/>
        <v>1.0113402687304711</v>
      </c>
      <c r="M52" s="2">
        <f t="shared" si="5"/>
        <v>0.7355908289241623</v>
      </c>
      <c r="N52" s="2">
        <f t="shared" si="6"/>
        <v>0.9550822784810126</v>
      </c>
      <c r="O52" s="2">
        <f t="shared" si="8"/>
        <v>1.0879999999999999</v>
      </c>
      <c r="P52" s="2">
        <f t="shared" si="7"/>
        <v>1589.4683544303805</v>
      </c>
    </row>
    <row r="53" spans="5:16" ht="15.75">
      <c r="E53" s="2">
        <f t="shared" si="2"/>
        <v>0</v>
      </c>
      <c r="F53" s="2">
        <f>Data!A98</f>
        <v>49</v>
      </c>
      <c r="G53" s="2">
        <f>IF(Data!B98&lt;&gt;" ",Data!B98," ")</f>
        <v>330</v>
      </c>
      <c r="H53" s="2">
        <f>IF(Data!C98=1,0.05,-1)</f>
        <v>-1</v>
      </c>
      <c r="I53" s="2">
        <f t="shared" si="3"/>
        <v>1.32</v>
      </c>
      <c r="J53" s="2">
        <f t="shared" si="9"/>
        <v>16170</v>
      </c>
      <c r="K53" s="2">
        <f t="shared" si="10"/>
        <v>0</v>
      </c>
      <c r="L53" s="2">
        <f t="shared" si="4"/>
        <v>1.0113402687304711</v>
      </c>
      <c r="M53" s="2">
        <f t="shared" si="5"/>
        <v>0.7355908289241623</v>
      </c>
      <c r="N53" s="2">
        <f t="shared" si="6"/>
        <v>0.9550822784810126</v>
      </c>
      <c r="O53" s="2">
        <f t="shared" si="8"/>
        <v>1.092</v>
      </c>
      <c r="P53" s="2">
        <f t="shared" si="7"/>
        <v>1622.5822784810134</v>
      </c>
    </row>
    <row r="54" spans="5:16" ht="15.75">
      <c r="E54" s="2">
        <f t="shared" si="2"/>
        <v>0</v>
      </c>
      <c r="F54" s="2">
        <f>Data!A99</f>
        <v>50</v>
      </c>
      <c r="G54" s="2">
        <f>IF(Data!B99&lt;&gt;" ",Data!B99," ")</f>
        <v>260</v>
      </c>
      <c r="H54" s="2">
        <f>IF(Data!C99=1,0.05,-1)</f>
        <v>-1</v>
      </c>
      <c r="I54" s="2">
        <f t="shared" si="3"/>
        <v>1.04</v>
      </c>
      <c r="J54" s="2">
        <f t="shared" si="9"/>
        <v>13000</v>
      </c>
      <c r="K54" s="2">
        <f t="shared" si="10"/>
        <v>0</v>
      </c>
      <c r="L54" s="2">
        <f t="shared" si="4"/>
        <v>1.0113402687304711</v>
      </c>
      <c r="M54" s="2">
        <f t="shared" si="5"/>
        <v>0.7355908289241623</v>
      </c>
      <c r="N54" s="2">
        <f t="shared" si="6"/>
        <v>0.9550822784810126</v>
      </c>
      <c r="O54" s="2">
        <f t="shared" si="8"/>
        <v>1.0979999999999999</v>
      </c>
      <c r="P54" s="2">
        <f t="shared" si="7"/>
        <v>1655.6962025316463</v>
      </c>
    </row>
    <row r="55" spans="5:16" ht="15.75">
      <c r="E55" s="2">
        <f t="shared" si="2"/>
        <v>0</v>
      </c>
      <c r="F55" s="2">
        <f>Data!A100</f>
        <v>51</v>
      </c>
      <c r="G55" s="2">
        <f>IF(Data!B100&lt;&gt;" ",Data!B100," ")</f>
        <v>250</v>
      </c>
      <c r="H55" s="2">
        <f>IF(Data!C100=1,0.05,-1)</f>
        <v>-1</v>
      </c>
      <c r="I55" s="2">
        <f t="shared" si="3"/>
        <v>1</v>
      </c>
      <c r="J55" s="2">
        <f t="shared" si="9"/>
        <v>12750</v>
      </c>
      <c r="K55" s="2">
        <f t="shared" si="10"/>
        <v>0</v>
      </c>
      <c r="L55" s="2">
        <f t="shared" si="4"/>
        <v>1.0113402687304711</v>
      </c>
      <c r="M55" s="2">
        <f t="shared" si="5"/>
        <v>0.7355908289241623</v>
      </c>
      <c r="N55" s="2">
        <f t="shared" si="6"/>
        <v>0.9550822784810126</v>
      </c>
      <c r="O55" s="2">
        <f t="shared" si="8"/>
        <v>1.0960000000000003</v>
      </c>
      <c r="P55" s="2">
        <f t="shared" si="7"/>
        <v>1688.8101265822793</v>
      </c>
    </row>
    <row r="56" spans="5:16" ht="15.75">
      <c r="E56" s="2">
        <f t="shared" si="2"/>
        <v>0</v>
      </c>
      <c r="F56" s="2">
        <f>Data!A101</f>
        <v>52</v>
      </c>
      <c r="G56" s="2">
        <f>IF(Data!B101&lt;&gt;" ",Data!B101," ")</f>
        <v>260</v>
      </c>
      <c r="H56" s="2">
        <f>IF(Data!C101=1,0.05,-1)</f>
        <v>0.05</v>
      </c>
      <c r="I56" s="2">
        <f t="shared" si="3"/>
        <v>1.04</v>
      </c>
      <c r="J56" s="2">
        <f t="shared" si="9"/>
        <v>13520</v>
      </c>
      <c r="K56" s="2">
        <f t="shared" si="10"/>
        <v>0</v>
      </c>
      <c r="L56" s="2">
        <f t="shared" si="4"/>
        <v>1.0113402687304711</v>
      </c>
      <c r="M56" s="2">
        <f t="shared" si="5"/>
        <v>0.7355908289241623</v>
      </c>
      <c r="N56" s="2">
        <f t="shared" si="6"/>
        <v>0.9550822784810126</v>
      </c>
      <c r="O56" s="2">
        <f t="shared" si="8"/>
        <v>1.084</v>
      </c>
      <c r="P56" s="2">
        <f t="shared" si="7"/>
        <v>1721.9240506329122</v>
      </c>
    </row>
    <row r="57" spans="5:16" ht="15.75">
      <c r="E57" s="2">
        <f t="shared" si="2"/>
        <v>0</v>
      </c>
      <c r="F57" s="2">
        <f>Data!A102</f>
        <v>53</v>
      </c>
      <c r="G57" s="2">
        <f>IF(Data!B102&lt;&gt;" ",Data!B102," ")</f>
        <v>255</v>
      </c>
      <c r="H57" s="2">
        <f>IF(Data!C102=1,0.05,-1)</f>
        <v>-1</v>
      </c>
      <c r="I57" s="2">
        <f t="shared" si="3"/>
        <v>1.02</v>
      </c>
      <c r="J57" s="2">
        <f t="shared" si="9"/>
        <v>13515</v>
      </c>
      <c r="K57" s="2">
        <f t="shared" si="10"/>
        <v>0</v>
      </c>
      <c r="L57" s="2">
        <f t="shared" si="4"/>
        <v>1.0113402687304711</v>
      </c>
      <c r="M57" s="2">
        <f t="shared" si="5"/>
        <v>0.7355908289241623</v>
      </c>
      <c r="N57" s="2">
        <f t="shared" si="6"/>
        <v>0.9550822784810126</v>
      </c>
      <c r="O57" s="2">
        <f t="shared" si="8"/>
        <v>1.076</v>
      </c>
      <c r="P57" s="2">
        <f t="shared" si="7"/>
        <v>1755.0379746835451</v>
      </c>
    </row>
    <row r="58" spans="5:16" ht="15.75">
      <c r="E58" s="2">
        <f t="shared" si="2"/>
        <v>0</v>
      </c>
      <c r="F58" s="2">
        <f>Data!A103</f>
        <v>54</v>
      </c>
      <c r="G58" s="2">
        <f>IF(Data!B103&lt;&gt;" ",Data!B103," ")</f>
        <v>280</v>
      </c>
      <c r="H58" s="2">
        <f>IF(Data!C103=1,0.05,-1)</f>
        <v>-1</v>
      </c>
      <c r="I58" s="2">
        <f t="shared" si="3"/>
        <v>1.12</v>
      </c>
      <c r="J58" s="2">
        <f t="shared" si="9"/>
        <v>15120</v>
      </c>
      <c r="K58" s="2">
        <f t="shared" si="10"/>
        <v>0</v>
      </c>
      <c r="L58" s="2">
        <f t="shared" si="4"/>
        <v>1.0113402687304711</v>
      </c>
      <c r="M58" s="2">
        <f t="shared" si="5"/>
        <v>0.7355908289241623</v>
      </c>
      <c r="N58" s="2">
        <f t="shared" si="6"/>
        <v>0.9550822784810126</v>
      </c>
      <c r="O58" s="2">
        <f t="shared" si="8"/>
        <v>1.0379999999999998</v>
      </c>
      <c r="P58" s="2">
        <f t="shared" si="7"/>
        <v>1788.151898734178</v>
      </c>
    </row>
    <row r="59" spans="5:16" ht="15.75">
      <c r="E59" s="2">
        <f t="shared" si="2"/>
        <v>0</v>
      </c>
      <c r="F59" s="2">
        <f>Data!A104</f>
        <v>55</v>
      </c>
      <c r="G59" s="2">
        <f>IF(Data!B104&lt;&gt;" ",Data!B104," ")</f>
        <v>270</v>
      </c>
      <c r="H59" s="2">
        <f>IF(Data!C104=1,0.05,-1)</f>
        <v>-1</v>
      </c>
      <c r="I59" s="2">
        <f t="shared" si="3"/>
        <v>1.08</v>
      </c>
      <c r="J59" s="2">
        <f t="shared" si="9"/>
        <v>14850</v>
      </c>
      <c r="K59" s="2">
        <f t="shared" si="10"/>
        <v>0</v>
      </c>
      <c r="L59" s="2">
        <f t="shared" si="4"/>
        <v>1.0113402687304711</v>
      </c>
      <c r="M59" s="2">
        <f t="shared" si="5"/>
        <v>0.7355908289241623</v>
      </c>
      <c r="N59" s="2">
        <f t="shared" si="6"/>
        <v>0.9550822784810126</v>
      </c>
      <c r="O59" s="2">
        <f t="shared" si="8"/>
        <v>1.026</v>
      </c>
      <c r="P59" s="2">
        <f t="shared" si="7"/>
        <v>1821.265822784811</v>
      </c>
    </row>
    <row r="60" spans="5:16" ht="15.75">
      <c r="E60" s="2">
        <f t="shared" si="2"/>
        <v>0</v>
      </c>
      <c r="F60" s="2">
        <f>Data!A105</f>
        <v>56</v>
      </c>
      <c r="G60" s="2">
        <f>IF(Data!B105&lt;&gt;" ",Data!B105," ")</f>
        <v>285</v>
      </c>
      <c r="H60" s="2">
        <f>IF(Data!C105=1,0.05,-1)</f>
        <v>-1</v>
      </c>
      <c r="I60" s="2">
        <f t="shared" si="3"/>
        <v>1.14</v>
      </c>
      <c r="J60" s="2">
        <f t="shared" si="9"/>
        <v>15960</v>
      </c>
      <c r="K60" s="2">
        <f t="shared" si="10"/>
        <v>0</v>
      </c>
      <c r="L60" s="2">
        <f t="shared" si="4"/>
        <v>1.0113402687304711</v>
      </c>
      <c r="M60" s="2">
        <f t="shared" si="5"/>
        <v>0.7355908289241623</v>
      </c>
      <c r="N60" s="2">
        <f t="shared" si="6"/>
        <v>0.9550822784810126</v>
      </c>
      <c r="O60" s="2">
        <f t="shared" si="8"/>
        <v>1.098</v>
      </c>
      <c r="P60" s="2">
        <f t="shared" si="7"/>
        <v>1854.379746835444</v>
      </c>
    </row>
    <row r="61" spans="5:16" ht="15.75">
      <c r="E61" s="2">
        <f t="shared" si="2"/>
        <v>0</v>
      </c>
      <c r="F61" s="2">
        <f>Data!A106</f>
        <v>57</v>
      </c>
      <c r="G61" s="2">
        <f>IF(Data!B106&lt;&gt;" ",Data!B106," ")</f>
        <v>235</v>
      </c>
      <c r="H61" s="2">
        <f>IF(Data!C106=1,0.05,-1)</f>
        <v>0.05</v>
      </c>
      <c r="I61" s="2">
        <f t="shared" si="3"/>
        <v>0.94</v>
      </c>
      <c r="J61" s="2">
        <f t="shared" si="9"/>
        <v>13395</v>
      </c>
      <c r="K61" s="2">
        <f t="shared" si="10"/>
        <v>0</v>
      </c>
      <c r="L61" s="2">
        <f t="shared" si="4"/>
        <v>1.0113402687304711</v>
      </c>
      <c r="M61" s="2">
        <f t="shared" si="5"/>
        <v>0.7355908289241623</v>
      </c>
      <c r="N61" s="2">
        <f t="shared" si="6"/>
        <v>0.9550822784810126</v>
      </c>
      <c r="O61" s="2">
        <f t="shared" si="8"/>
        <v>1.088</v>
      </c>
      <c r="P61" s="2">
        <f t="shared" si="7"/>
        <v>1887.4936708860769</v>
      </c>
    </row>
    <row r="62" spans="5:16" ht="15.75">
      <c r="E62" s="2">
        <f t="shared" si="2"/>
        <v>0</v>
      </c>
      <c r="F62" s="2">
        <f>Data!A107</f>
        <v>58</v>
      </c>
      <c r="G62" s="2">
        <f>IF(Data!B107&lt;&gt;" ",Data!B107," ")</f>
        <v>265</v>
      </c>
      <c r="H62" s="2">
        <f>IF(Data!C107=1,0.05,-1)</f>
        <v>-1</v>
      </c>
      <c r="I62" s="2">
        <f t="shared" si="3"/>
        <v>1.06</v>
      </c>
      <c r="J62" s="2">
        <f t="shared" si="9"/>
        <v>15370</v>
      </c>
      <c r="K62" s="2">
        <f t="shared" si="10"/>
        <v>0</v>
      </c>
      <c r="L62" s="2">
        <f t="shared" si="4"/>
        <v>1.0113402687304711</v>
      </c>
      <c r="M62" s="2">
        <f t="shared" si="5"/>
        <v>0.7355908289241623</v>
      </c>
      <c r="N62" s="2">
        <f t="shared" si="6"/>
        <v>0.9550822784810126</v>
      </c>
      <c r="O62" s="2">
        <f t="shared" si="8"/>
        <v>1.068</v>
      </c>
      <c r="P62" s="2">
        <f t="shared" si="7"/>
        <v>1920.6075949367098</v>
      </c>
    </row>
    <row r="63" spans="5:16" ht="15.75">
      <c r="E63" s="2">
        <f t="shared" si="2"/>
        <v>0</v>
      </c>
      <c r="F63" s="2">
        <f>Data!A108</f>
        <v>59</v>
      </c>
      <c r="G63" s="2">
        <f>IF(Data!B108&lt;&gt;" ",Data!B108," ")</f>
        <v>235</v>
      </c>
      <c r="H63" s="2">
        <f>IF(Data!C108=1,0.05,-1)</f>
        <v>-1</v>
      </c>
      <c r="I63" s="2">
        <f t="shared" si="3"/>
        <v>0.94</v>
      </c>
      <c r="J63" s="2">
        <f t="shared" si="9"/>
        <v>13865</v>
      </c>
      <c r="K63" s="2">
        <f t="shared" si="10"/>
        <v>0</v>
      </c>
      <c r="L63" s="2">
        <f t="shared" si="4"/>
        <v>1.0113402687304711</v>
      </c>
      <c r="M63" s="2">
        <f t="shared" si="5"/>
        <v>0.7355908289241623</v>
      </c>
      <c r="N63" s="2">
        <f t="shared" si="6"/>
        <v>0.9550822784810126</v>
      </c>
      <c r="O63" s="2">
        <f t="shared" si="8"/>
        <v>1.054</v>
      </c>
      <c r="P63" s="2">
        <f t="shared" si="7"/>
        <v>1953.7215189873427</v>
      </c>
    </row>
    <row r="64" spans="5:16" ht="15.75">
      <c r="E64" s="2">
        <f t="shared" si="2"/>
        <v>0</v>
      </c>
      <c r="F64" s="2">
        <f>Data!A109</f>
        <v>60</v>
      </c>
      <c r="G64" s="2">
        <f>IF(Data!B109&lt;&gt;" ",Data!B109," ")</f>
        <v>230</v>
      </c>
      <c r="H64" s="2">
        <f>IF(Data!C109=1,0.05,-1)</f>
        <v>-1</v>
      </c>
      <c r="I64" s="2">
        <f t="shared" si="3"/>
        <v>0.92</v>
      </c>
      <c r="J64" s="2">
        <f t="shared" si="9"/>
        <v>13800</v>
      </c>
      <c r="K64" s="2">
        <f t="shared" si="10"/>
        <v>0</v>
      </c>
      <c r="L64" s="2">
        <f t="shared" si="4"/>
        <v>1.0113402687304711</v>
      </c>
      <c r="M64" s="2">
        <f t="shared" si="5"/>
        <v>0.7355908289241623</v>
      </c>
      <c r="N64" s="2">
        <f t="shared" si="6"/>
        <v>0.9550822784810126</v>
      </c>
      <c r="O64" s="2">
        <f t="shared" si="8"/>
        <v>1.038</v>
      </c>
      <c r="P64" s="2">
        <f t="shared" si="7"/>
        <v>1986.8354430379757</v>
      </c>
    </row>
    <row r="65" spans="5:16" ht="15.75">
      <c r="E65" s="2">
        <f t="shared" si="2"/>
        <v>0</v>
      </c>
      <c r="F65" s="2">
        <f>Data!A110</f>
        <v>61</v>
      </c>
      <c r="G65" s="2">
        <f>IF(Data!B110&lt;&gt;" ",Data!B110," ")</f>
        <v>430</v>
      </c>
      <c r="H65" s="2">
        <f>IF(Data!C110=1,0.05,-1)</f>
        <v>-1</v>
      </c>
      <c r="I65" s="2">
        <f t="shared" si="3"/>
        <v>1.72</v>
      </c>
      <c r="J65" s="2">
        <f t="shared" si="9"/>
        <v>26230</v>
      </c>
      <c r="K65" s="2">
        <f t="shared" si="10"/>
        <v>0</v>
      </c>
      <c r="L65" s="2">
        <f t="shared" si="4"/>
        <v>1.0113402687304711</v>
      </c>
      <c r="M65" s="2">
        <f t="shared" si="5"/>
        <v>0.7355908289241623</v>
      </c>
      <c r="N65" s="2">
        <f t="shared" si="6"/>
        <v>0.9550822784810126</v>
      </c>
      <c r="O65" s="2">
        <f t="shared" si="8"/>
        <v>1.006</v>
      </c>
      <c r="P65" s="2">
        <f t="shared" si="7"/>
        <v>2019.9493670886086</v>
      </c>
    </row>
    <row r="66" spans="5:16" ht="15.75">
      <c r="E66" s="2">
        <f t="shared" si="2"/>
        <v>0</v>
      </c>
      <c r="F66" s="2">
        <f>Data!A111</f>
        <v>62</v>
      </c>
      <c r="G66" s="2">
        <f>IF(Data!B111&lt;&gt;" ",Data!B111," ")</f>
        <v>235</v>
      </c>
      <c r="H66" s="2">
        <f>IF(Data!C111=1,0.05,-1)</f>
        <v>-1</v>
      </c>
      <c r="I66" s="2">
        <f t="shared" si="3"/>
        <v>0.94</v>
      </c>
      <c r="J66" s="2">
        <f t="shared" si="9"/>
        <v>14570</v>
      </c>
      <c r="K66" s="2">
        <f t="shared" si="10"/>
        <v>0</v>
      </c>
      <c r="L66" s="2">
        <f t="shared" si="4"/>
        <v>1.0113402687304711</v>
      </c>
      <c r="M66" s="2">
        <f t="shared" si="5"/>
        <v>0.7355908289241623</v>
      </c>
      <c r="N66" s="2">
        <f t="shared" si="6"/>
        <v>0.9550822784810126</v>
      </c>
      <c r="O66" s="2">
        <f t="shared" si="8"/>
        <v>1.006</v>
      </c>
      <c r="P66" s="2">
        <f t="shared" si="7"/>
        <v>2053.0632911392413</v>
      </c>
    </row>
    <row r="67" spans="5:16" ht="15.75">
      <c r="E67" s="2">
        <f t="shared" si="2"/>
        <v>63</v>
      </c>
      <c r="F67" s="2">
        <f>Data!A112</f>
        <v>63</v>
      </c>
      <c r="G67" s="2">
        <f>IF(Data!B112&lt;&gt;" ",Data!B112," ")</f>
        <v>205</v>
      </c>
      <c r="H67" s="2">
        <f>IF(Data!C112=1,0.05,-1)</f>
        <v>0.05</v>
      </c>
      <c r="I67" s="2">
        <f t="shared" si="3"/>
        <v>0.82</v>
      </c>
      <c r="J67" s="2">
        <f t="shared" si="9"/>
        <v>12915</v>
      </c>
      <c r="K67" s="2">
        <f t="shared" si="10"/>
        <v>12915</v>
      </c>
      <c r="L67" s="2">
        <f t="shared" si="4"/>
        <v>1.0113402687304711</v>
      </c>
      <c r="M67" s="2">
        <f t="shared" si="5"/>
        <v>0.7355908289241623</v>
      </c>
      <c r="N67" s="2">
        <f t="shared" si="6"/>
        <v>0.9550822784810126</v>
      </c>
      <c r="O67" s="2">
        <f t="shared" si="8"/>
        <v>0.982</v>
      </c>
      <c r="P67" s="2">
        <f t="shared" si="7"/>
        <v>2086.177215189874</v>
      </c>
    </row>
    <row r="68" spans="5:16" ht="15.75">
      <c r="E68" s="2">
        <f t="shared" si="2"/>
        <v>0</v>
      </c>
      <c r="F68" s="2">
        <f>Data!A113</f>
        <v>64</v>
      </c>
      <c r="G68" s="2">
        <f>IF(Data!B113&lt;&gt;" ",Data!B113," ")</f>
        <v>245</v>
      </c>
      <c r="H68" s="2">
        <f>IF(Data!C113=1,0.05,-1)</f>
        <v>-1</v>
      </c>
      <c r="I68" s="2">
        <f t="shared" si="3"/>
        <v>0.98</v>
      </c>
      <c r="J68" s="2">
        <f t="shared" si="9"/>
        <v>15680</v>
      </c>
      <c r="K68" s="2">
        <f t="shared" si="10"/>
        <v>0</v>
      </c>
      <c r="L68" s="2">
        <f t="shared" si="4"/>
        <v>1.0113402687304711</v>
      </c>
      <c r="M68" s="2">
        <f t="shared" si="5"/>
        <v>0.7355908289241623</v>
      </c>
      <c r="N68" s="2">
        <f t="shared" si="6"/>
        <v>0.9550822784810126</v>
      </c>
      <c r="O68" s="2">
        <f t="shared" si="8"/>
        <v>0.9860000000000001</v>
      </c>
      <c r="P68" s="2">
        <f t="shared" si="7"/>
        <v>2119.2911392405067</v>
      </c>
    </row>
    <row r="69" spans="5:16" ht="15.75">
      <c r="E69" s="2">
        <f t="shared" si="2"/>
        <v>0</v>
      </c>
      <c r="F69" s="2">
        <f>Data!A114</f>
        <v>65</v>
      </c>
      <c r="G69" s="2">
        <f>IF(Data!B114&lt;&gt;" ",Data!B114," ")</f>
        <v>230</v>
      </c>
      <c r="H69" s="2">
        <f>IF(Data!C114=1,0.05,-1)</f>
        <v>-1</v>
      </c>
      <c r="I69" s="2">
        <f t="shared" si="3"/>
        <v>0.92</v>
      </c>
      <c r="J69" s="2">
        <f t="shared" si="9"/>
        <v>14950</v>
      </c>
      <c r="K69" s="2">
        <f t="shared" si="10"/>
        <v>0</v>
      </c>
      <c r="L69" s="2">
        <f t="shared" si="4"/>
        <v>1.0113402687304711</v>
      </c>
      <c r="M69" s="2">
        <f t="shared" si="5"/>
        <v>0.7355908289241623</v>
      </c>
      <c r="N69" s="2">
        <f t="shared" si="6"/>
        <v>0.9550822784810126</v>
      </c>
      <c r="O69" s="2">
        <f t="shared" si="8"/>
        <v>0.9760000000000002</v>
      </c>
      <c r="P69" s="2">
        <f t="shared" si="7"/>
        <v>2152.4050632911394</v>
      </c>
    </row>
    <row r="70" spans="5:16" ht="15.75">
      <c r="E70" s="2">
        <f aca="true" t="shared" si="11" ref="E70:E133">IF(G70&lt;=$B$45,F70,0)</f>
        <v>66</v>
      </c>
      <c r="F70" s="2">
        <f>Data!A115</f>
        <v>66</v>
      </c>
      <c r="G70" s="2">
        <f>IF(Data!B115&lt;&gt;" ",Data!B115," ")</f>
        <v>205</v>
      </c>
      <c r="H70" s="2">
        <f>IF(Data!C115=1,0.05,-1)</f>
        <v>-1</v>
      </c>
      <c r="I70" s="2">
        <f aca="true" t="shared" si="12" ref="I70:I133">G70/250</f>
        <v>0.82</v>
      </c>
      <c r="J70" s="2">
        <f t="shared" si="9"/>
        <v>13530</v>
      </c>
      <c r="K70" s="2">
        <f t="shared" si="10"/>
        <v>13530</v>
      </c>
      <c r="L70" s="2">
        <f aca="true" t="shared" si="13" ref="L70:L133">$B$16</f>
        <v>1.0113402687304711</v>
      </c>
      <c r="M70" s="2">
        <f aca="true" t="shared" si="14" ref="M70:M133">$B$22</f>
        <v>0.7355908289241623</v>
      </c>
      <c r="N70" s="2">
        <f aca="true" t="shared" si="15" ref="N70:N133">$B$19</f>
        <v>0.9550822784810126</v>
      </c>
      <c r="O70" s="2">
        <f t="shared" si="8"/>
        <v>0.8880000000000001</v>
      </c>
      <c r="P70" s="2">
        <f t="shared" si="7"/>
        <v>2185.518987341772</v>
      </c>
    </row>
    <row r="71" spans="5:16" ht="15.75">
      <c r="E71" s="2">
        <f t="shared" si="11"/>
        <v>0</v>
      </c>
      <c r="F71" s="2">
        <f>Data!A116</f>
        <v>67</v>
      </c>
      <c r="G71" s="2">
        <f>IF(Data!B116&lt;&gt;" ",Data!B116," ")</f>
        <v>235</v>
      </c>
      <c r="H71" s="2">
        <f>IF(Data!C116=1,0.05,-1)</f>
        <v>-1</v>
      </c>
      <c r="I71" s="2">
        <f t="shared" si="12"/>
        <v>0.94</v>
      </c>
      <c r="J71" s="2">
        <f t="shared" si="9"/>
        <v>15745</v>
      </c>
      <c r="K71" s="2">
        <f t="shared" si="10"/>
        <v>0</v>
      </c>
      <c r="L71" s="2">
        <f t="shared" si="13"/>
        <v>1.0113402687304711</v>
      </c>
      <c r="M71" s="2">
        <f t="shared" si="14"/>
        <v>0.7355908289241623</v>
      </c>
      <c r="N71" s="2">
        <f t="shared" si="15"/>
        <v>0.9550822784810126</v>
      </c>
      <c r="O71" s="2">
        <f t="shared" si="8"/>
        <v>0.884</v>
      </c>
      <c r="P71" s="2">
        <f aca="true" t="shared" si="16" ref="P71:P134">P70+$P$5</f>
        <v>2218.632911392405</v>
      </c>
    </row>
    <row r="72" spans="5:16" ht="15.75">
      <c r="E72" s="2">
        <f t="shared" si="11"/>
        <v>68</v>
      </c>
      <c r="F72" s="2">
        <f>Data!A117</f>
        <v>68</v>
      </c>
      <c r="G72" s="2">
        <f>IF(Data!B117&lt;&gt;" ",Data!B117," ")</f>
        <v>205</v>
      </c>
      <c r="H72" s="2">
        <f>IF(Data!C117=1,0.05,-1)</f>
        <v>0.05</v>
      </c>
      <c r="I72" s="2">
        <f t="shared" si="12"/>
        <v>0.82</v>
      </c>
      <c r="J72" s="2">
        <f t="shared" si="9"/>
        <v>13940</v>
      </c>
      <c r="K72" s="2">
        <f t="shared" si="10"/>
        <v>13940</v>
      </c>
      <c r="L72" s="2">
        <f t="shared" si="13"/>
        <v>1.0113402687304711</v>
      </c>
      <c r="M72" s="2">
        <f t="shared" si="14"/>
        <v>0.7355908289241623</v>
      </c>
      <c r="N72" s="2">
        <f t="shared" si="15"/>
        <v>0.9550822784810126</v>
      </c>
      <c r="O72" s="2">
        <f t="shared" si="8"/>
        <v>0.8879999999999999</v>
      </c>
      <c r="P72" s="2">
        <f t="shared" si="16"/>
        <v>2251.7468354430375</v>
      </c>
    </row>
    <row r="73" spans="5:16" ht="15.75">
      <c r="E73" s="2">
        <f t="shared" si="11"/>
        <v>0</v>
      </c>
      <c r="F73" s="2">
        <f>Data!A118</f>
        <v>69</v>
      </c>
      <c r="G73" s="2">
        <f>IF(Data!B118&lt;&gt;" ",Data!B118," ")</f>
        <v>245</v>
      </c>
      <c r="H73" s="2">
        <f>IF(Data!C118=1,0.05,-1)</f>
        <v>-1</v>
      </c>
      <c r="I73" s="2">
        <f t="shared" si="12"/>
        <v>0.98</v>
      </c>
      <c r="J73" s="2">
        <f t="shared" si="9"/>
        <v>16905</v>
      </c>
      <c r="K73" s="2">
        <f t="shared" si="10"/>
        <v>0</v>
      </c>
      <c r="L73" s="2">
        <f t="shared" si="13"/>
        <v>1.0113402687304711</v>
      </c>
      <c r="M73" s="2">
        <f t="shared" si="14"/>
        <v>0.7355908289241623</v>
      </c>
      <c r="N73" s="2">
        <f t="shared" si="15"/>
        <v>0.9550822784810126</v>
      </c>
      <c r="O73" s="2">
        <f t="shared" si="8"/>
        <v>0.874</v>
      </c>
      <c r="P73" s="2">
        <f t="shared" si="16"/>
        <v>2284.8607594936702</v>
      </c>
    </row>
    <row r="74" spans="5:16" ht="15.75">
      <c r="E74" s="2">
        <f t="shared" si="11"/>
        <v>70</v>
      </c>
      <c r="F74" s="2">
        <f>Data!A119</f>
        <v>70</v>
      </c>
      <c r="G74" s="2">
        <f>IF(Data!B119&lt;&gt;" ",Data!B119," ")</f>
        <v>205</v>
      </c>
      <c r="H74" s="2">
        <f>IF(Data!C119=1,0.05,-1)</f>
        <v>-1</v>
      </c>
      <c r="I74" s="2">
        <f t="shared" si="12"/>
        <v>0.82</v>
      </c>
      <c r="J74" s="2">
        <f t="shared" si="9"/>
        <v>14350</v>
      </c>
      <c r="K74" s="2">
        <f t="shared" si="10"/>
        <v>14350</v>
      </c>
      <c r="L74" s="2">
        <f t="shared" si="13"/>
        <v>1.0113402687304711</v>
      </c>
      <c r="M74" s="2">
        <f t="shared" si="14"/>
        <v>0.7355908289241623</v>
      </c>
      <c r="N74" s="2">
        <f t="shared" si="15"/>
        <v>0.9550822784810126</v>
      </c>
      <c r="O74" s="2">
        <f aca="true" t="shared" si="17" ref="O74:O137">IF(AND(I70&gt;0,I79&gt;0),AVERAGE(I70:I79)," ")</f>
        <v>0.8700000000000001</v>
      </c>
      <c r="P74" s="2">
        <f t="shared" si="16"/>
        <v>2317.974683544303</v>
      </c>
    </row>
    <row r="75" spans="5:16" ht="15.75">
      <c r="E75" s="2">
        <f t="shared" si="11"/>
        <v>0</v>
      </c>
      <c r="F75" s="2">
        <f>Data!A120</f>
        <v>71</v>
      </c>
      <c r="G75" s="2">
        <f>IF(Data!B120&lt;&gt;" ",Data!B120," ")</f>
        <v>210</v>
      </c>
      <c r="H75" s="2">
        <f>IF(Data!C120=1,0.05,-1)</f>
        <v>-1</v>
      </c>
      <c r="I75" s="2">
        <f t="shared" si="12"/>
        <v>0.84</v>
      </c>
      <c r="J75" s="2">
        <f t="shared" si="9"/>
        <v>14910</v>
      </c>
      <c r="K75" s="2">
        <f t="shared" si="10"/>
        <v>0</v>
      </c>
      <c r="L75" s="2">
        <f t="shared" si="13"/>
        <v>1.0113402687304711</v>
      </c>
      <c r="M75" s="2">
        <f t="shared" si="14"/>
        <v>0.7355908289241623</v>
      </c>
      <c r="N75" s="2">
        <f t="shared" si="15"/>
        <v>0.9550822784810126</v>
      </c>
      <c r="O75" s="2">
        <f t="shared" si="17"/>
        <v>0.8720000000000001</v>
      </c>
      <c r="P75" s="2">
        <f t="shared" si="16"/>
        <v>2351.0886075949356</v>
      </c>
    </row>
    <row r="76" spans="5:16" ht="15.75">
      <c r="E76" s="2">
        <f t="shared" si="11"/>
        <v>0</v>
      </c>
      <c r="F76" s="2">
        <f>Data!A121</f>
        <v>72</v>
      </c>
      <c r="G76" s="2">
        <f>IF(Data!B121&lt;&gt;" ",Data!B121," ")</f>
        <v>225</v>
      </c>
      <c r="H76" s="2">
        <f>IF(Data!C121=1,0.05,-1)</f>
        <v>-1</v>
      </c>
      <c r="I76" s="2">
        <f t="shared" si="12"/>
        <v>0.9</v>
      </c>
      <c r="J76" s="2">
        <f t="shared" si="9"/>
        <v>16200</v>
      </c>
      <c r="K76" s="2">
        <f t="shared" si="10"/>
        <v>0</v>
      </c>
      <c r="L76" s="2">
        <f t="shared" si="13"/>
        <v>1.0113402687304711</v>
      </c>
      <c r="M76" s="2">
        <f t="shared" si="14"/>
        <v>0.7355908289241623</v>
      </c>
      <c r="N76" s="2">
        <f t="shared" si="15"/>
        <v>0.9550822784810126</v>
      </c>
      <c r="O76" s="2">
        <f t="shared" si="17"/>
        <v>0.8619999999999999</v>
      </c>
      <c r="P76" s="2">
        <f t="shared" si="16"/>
        <v>2384.2025316455683</v>
      </c>
    </row>
    <row r="77" spans="5:16" ht="15.75">
      <c r="E77" s="2">
        <f t="shared" si="11"/>
        <v>0</v>
      </c>
      <c r="F77" s="2">
        <f>Data!A122</f>
        <v>73</v>
      </c>
      <c r="G77" s="2">
        <f>IF(Data!B122&lt;&gt;" ",Data!B122," ")</f>
        <v>215</v>
      </c>
      <c r="H77" s="2">
        <f>IF(Data!C122=1,0.05,-1)</f>
        <v>-1</v>
      </c>
      <c r="I77" s="2">
        <f t="shared" si="12"/>
        <v>0.86</v>
      </c>
      <c r="J77" s="2">
        <f t="shared" si="9"/>
        <v>15695</v>
      </c>
      <c r="K77" s="2">
        <f t="shared" si="10"/>
        <v>0</v>
      </c>
      <c r="L77" s="2">
        <f t="shared" si="13"/>
        <v>1.0113402687304711</v>
      </c>
      <c r="M77" s="2">
        <f t="shared" si="14"/>
        <v>0.7355908289241623</v>
      </c>
      <c r="N77" s="2">
        <f t="shared" si="15"/>
        <v>0.9550822784810126</v>
      </c>
      <c r="O77" s="2">
        <f t="shared" si="17"/>
        <v>0.868</v>
      </c>
      <c r="P77" s="2">
        <f t="shared" si="16"/>
        <v>2417.316455696201</v>
      </c>
    </row>
    <row r="78" spans="5:16" ht="15.75">
      <c r="E78" s="2">
        <f t="shared" si="11"/>
        <v>0</v>
      </c>
      <c r="F78" s="2">
        <f>Data!A123</f>
        <v>74</v>
      </c>
      <c r="G78" s="2">
        <f>IF(Data!B123&lt;&gt;" ",Data!B123," ")</f>
        <v>210</v>
      </c>
      <c r="H78" s="2">
        <f>IF(Data!C123=1,0.05,-1)</f>
        <v>0.05</v>
      </c>
      <c r="I78" s="2">
        <f t="shared" si="12"/>
        <v>0.84</v>
      </c>
      <c r="J78" s="2">
        <f t="shared" si="9"/>
        <v>15540</v>
      </c>
      <c r="K78" s="2">
        <f t="shared" si="10"/>
        <v>0</v>
      </c>
      <c r="L78" s="2">
        <f t="shared" si="13"/>
        <v>1.0113402687304711</v>
      </c>
      <c r="M78" s="2">
        <f t="shared" si="14"/>
        <v>0.7355908289241623</v>
      </c>
      <c r="N78" s="2">
        <f t="shared" si="15"/>
        <v>0.9550822784810126</v>
      </c>
      <c r="O78" s="2">
        <f t="shared" si="17"/>
        <v>0.8399999999999999</v>
      </c>
      <c r="P78" s="2">
        <f t="shared" si="16"/>
        <v>2450.4303797468338</v>
      </c>
    </row>
    <row r="79" spans="5:16" ht="15.75">
      <c r="E79" s="2">
        <f t="shared" si="11"/>
        <v>0</v>
      </c>
      <c r="F79" s="2">
        <f>Data!A124</f>
        <v>75</v>
      </c>
      <c r="G79" s="2">
        <f>IF(Data!B124&lt;&gt;" ",Data!B124," ")</f>
        <v>220</v>
      </c>
      <c r="H79" s="2">
        <f>IF(Data!C124=1,0.05,-1)</f>
        <v>-1</v>
      </c>
      <c r="I79" s="2">
        <f t="shared" si="12"/>
        <v>0.88</v>
      </c>
      <c r="J79" s="2">
        <f t="shared" si="9"/>
        <v>16500</v>
      </c>
      <c r="K79" s="2">
        <f t="shared" si="10"/>
        <v>0</v>
      </c>
      <c r="L79" s="2">
        <f t="shared" si="13"/>
        <v>1.0113402687304711</v>
      </c>
      <c r="M79" s="2">
        <f t="shared" si="14"/>
        <v>0.7355908289241623</v>
      </c>
      <c r="N79" s="2">
        <f t="shared" si="15"/>
        <v>0.9550822784810126</v>
      </c>
      <c r="O79" s="2" t="str">
        <f t="shared" si="17"/>
        <v> </v>
      </c>
      <c r="P79" s="2">
        <f t="shared" si="16"/>
        <v>2483.5443037974665</v>
      </c>
    </row>
    <row r="80" spans="5:16" ht="15.75">
      <c r="E80" s="2">
        <f t="shared" si="11"/>
        <v>0</v>
      </c>
      <c r="F80" s="2">
        <f>Data!A125</f>
        <v>76</v>
      </c>
      <c r="G80" s="2">
        <f>IF(Data!B125&lt;&gt;" ",Data!B125," ")</f>
        <v>210</v>
      </c>
      <c r="H80" s="2">
        <f>IF(Data!C125=1,0.05,-1)</f>
        <v>-1</v>
      </c>
      <c r="I80" s="2">
        <f t="shared" si="12"/>
        <v>0.84</v>
      </c>
      <c r="J80" s="2">
        <f t="shared" si="9"/>
        <v>15960</v>
      </c>
      <c r="K80" s="2">
        <f t="shared" si="10"/>
        <v>0</v>
      </c>
      <c r="L80" s="2">
        <f t="shared" si="13"/>
        <v>1.0113402687304711</v>
      </c>
      <c r="M80" s="2">
        <f t="shared" si="14"/>
        <v>0.7355908289241623</v>
      </c>
      <c r="N80" s="2">
        <f t="shared" si="15"/>
        <v>0.9550822784810126</v>
      </c>
      <c r="O80" s="2" t="str">
        <f t="shared" si="17"/>
        <v> </v>
      </c>
      <c r="P80" s="2">
        <f t="shared" si="16"/>
        <v>2516.658227848099</v>
      </c>
    </row>
    <row r="81" spans="5:16" ht="15.75">
      <c r="E81" s="2">
        <f t="shared" si="11"/>
        <v>0</v>
      </c>
      <c r="F81" s="2">
        <f>Data!A126</f>
        <v>77</v>
      </c>
      <c r="G81" s="2">
        <f>IF(Data!B126&lt;&gt;" ",Data!B126," ")</f>
        <v>210</v>
      </c>
      <c r="H81" s="2">
        <f>IF(Data!C126=1,0.05,-1)</f>
        <v>-1</v>
      </c>
      <c r="I81" s="2">
        <f t="shared" si="12"/>
        <v>0.84</v>
      </c>
      <c r="J81" s="2">
        <f t="shared" si="9"/>
        <v>16170</v>
      </c>
      <c r="K81" s="2">
        <f t="shared" si="10"/>
        <v>0</v>
      </c>
      <c r="L81" s="2">
        <f t="shared" si="13"/>
        <v>1.0113402687304711</v>
      </c>
      <c r="M81" s="2">
        <f t="shared" si="14"/>
        <v>0.7355908289241623</v>
      </c>
      <c r="N81" s="2">
        <f t="shared" si="15"/>
        <v>0.9550822784810126</v>
      </c>
      <c r="O81" s="2" t="str">
        <f t="shared" si="17"/>
        <v> </v>
      </c>
      <c r="P81" s="2">
        <f t="shared" si="16"/>
        <v>2549.772151898732</v>
      </c>
    </row>
    <row r="82" spans="5:16" ht="15.75">
      <c r="E82" s="2">
        <f t="shared" si="11"/>
        <v>0</v>
      </c>
      <c r="F82" s="2">
        <f>Data!A127</f>
        <v>78</v>
      </c>
      <c r="G82" s="2">
        <f>IF(Data!B127&lt;&gt;" ",Data!B127," ")</f>
        <v>220</v>
      </c>
      <c r="H82" s="2">
        <f>IF(Data!C127=1,0.05,-1)</f>
        <v>-1</v>
      </c>
      <c r="I82" s="2">
        <f t="shared" si="12"/>
        <v>0.88</v>
      </c>
      <c r="J82" s="2">
        <f t="shared" si="9"/>
        <v>17160</v>
      </c>
      <c r="K82" s="2">
        <f t="shared" si="10"/>
        <v>0</v>
      </c>
      <c r="L82" s="2">
        <f t="shared" si="13"/>
        <v>1.0113402687304711</v>
      </c>
      <c r="M82" s="2">
        <f t="shared" si="14"/>
        <v>0.7355908289241623</v>
      </c>
      <c r="N82" s="2">
        <f t="shared" si="15"/>
        <v>0.9550822784810126</v>
      </c>
      <c r="O82" s="2" t="str">
        <f t="shared" si="17"/>
        <v> </v>
      </c>
      <c r="P82" s="2">
        <f t="shared" si="16"/>
        <v>2582.8860759493646</v>
      </c>
    </row>
    <row r="83" spans="5:16" ht="15.75">
      <c r="E83" s="2">
        <f t="shared" si="11"/>
        <v>79</v>
      </c>
      <c r="F83" s="2">
        <f>Data!A128</f>
        <v>79</v>
      </c>
      <c r="G83" s="2">
        <f>IF(Data!B128&lt;&gt;" ",Data!B128," ")</f>
        <v>175</v>
      </c>
      <c r="H83" s="2">
        <f>IF(Data!C128=1,0.05,-1)</f>
        <v>0.05</v>
      </c>
      <c r="I83" s="2">
        <f t="shared" si="12"/>
        <v>0.7</v>
      </c>
      <c r="J83" s="2">
        <f t="shared" si="9"/>
        <v>13825</v>
      </c>
      <c r="K83" s="2">
        <f t="shared" si="10"/>
        <v>13825</v>
      </c>
      <c r="L83" s="2">
        <f t="shared" si="13"/>
        <v>1.0113402687304711</v>
      </c>
      <c r="M83" s="2">
        <f t="shared" si="14"/>
        <v>0.7355908289241623</v>
      </c>
      <c r="N83" s="2">
        <f t="shared" si="15"/>
        <v>0.9550822784810126</v>
      </c>
      <c r="O83" s="2" t="str">
        <f t="shared" si="17"/>
        <v> </v>
      </c>
      <c r="P83" s="2">
        <f t="shared" si="16"/>
        <v>2615.9999999999973</v>
      </c>
    </row>
    <row r="84" spans="5:16" ht="15.75">
      <c r="E84" s="2">
        <f t="shared" si="11"/>
      </c>
      <c r="F84" s="2">
        <f>Data!A129</f>
      </c>
      <c r="G84" s="2">
        <f>IF(Data!B129&lt;&gt;" ",Data!B129," ")</f>
        <v>0</v>
      </c>
      <c r="H84" s="2">
        <f>IF(Data!C129=1,0.05,-1)</f>
        <v>-1</v>
      </c>
      <c r="I84" s="2">
        <f t="shared" si="12"/>
        <v>0</v>
      </c>
      <c r="J84" s="2">
        <f t="shared" si="9"/>
        <v>0</v>
      </c>
      <c r="K84" s="2">
        <f t="shared" si="10"/>
        <v>0</v>
      </c>
      <c r="L84" s="2">
        <f t="shared" si="13"/>
        <v>1.0113402687304711</v>
      </c>
      <c r="M84" s="2">
        <f t="shared" si="14"/>
        <v>0.7355908289241623</v>
      </c>
      <c r="N84" s="2">
        <f t="shared" si="15"/>
        <v>0.9550822784810126</v>
      </c>
      <c r="O84" s="2" t="str">
        <f t="shared" si="17"/>
        <v> </v>
      </c>
      <c r="P84" s="2">
        <f t="shared" si="16"/>
        <v>2649.11392405063</v>
      </c>
    </row>
    <row r="85" spans="5:16" ht="15.75">
      <c r="E85" s="2">
        <f t="shared" si="11"/>
      </c>
      <c r="F85" s="2">
        <f>Data!A130</f>
      </c>
      <c r="G85" s="2">
        <f>IF(Data!B130&lt;&gt;" ",Data!B130," ")</f>
        <v>0</v>
      </c>
      <c r="H85" s="2">
        <f>IF(Data!C130=1,0.05,-1)</f>
        <v>-1</v>
      </c>
      <c r="I85" s="2">
        <f t="shared" si="12"/>
        <v>0</v>
      </c>
      <c r="J85" s="2">
        <f t="shared" si="9"/>
        <v>0</v>
      </c>
      <c r="K85" s="2">
        <f t="shared" si="10"/>
        <v>0</v>
      </c>
      <c r="L85" s="2">
        <f t="shared" si="13"/>
        <v>1.0113402687304711</v>
      </c>
      <c r="M85" s="2">
        <f t="shared" si="14"/>
        <v>0.7355908289241623</v>
      </c>
      <c r="N85" s="2">
        <f t="shared" si="15"/>
        <v>0.9550822784810126</v>
      </c>
      <c r="O85" s="2" t="str">
        <f t="shared" si="17"/>
        <v> </v>
      </c>
      <c r="P85" s="2">
        <f t="shared" si="16"/>
        <v>2682.2278481012627</v>
      </c>
    </row>
    <row r="86" spans="5:16" ht="15.75">
      <c r="E86" s="2">
        <f t="shared" si="11"/>
      </c>
      <c r="F86" s="2">
        <f>Data!A131</f>
      </c>
      <c r="G86" s="2">
        <f>IF(Data!B131&lt;&gt;" ",Data!B131," ")</f>
        <v>0</v>
      </c>
      <c r="H86" s="2">
        <f>IF(Data!C131=1,0.05,-1)</f>
        <v>-1</v>
      </c>
      <c r="I86" s="2">
        <f t="shared" si="12"/>
        <v>0</v>
      </c>
      <c r="J86" s="2">
        <f t="shared" si="9"/>
        <v>0</v>
      </c>
      <c r="K86" s="2">
        <f t="shared" si="10"/>
        <v>0</v>
      </c>
      <c r="L86" s="2">
        <f t="shared" si="13"/>
        <v>1.0113402687304711</v>
      </c>
      <c r="M86" s="2">
        <f t="shared" si="14"/>
        <v>0.7355908289241623</v>
      </c>
      <c r="N86" s="2">
        <f t="shared" si="15"/>
        <v>0.9550822784810126</v>
      </c>
      <c r="O86" s="2" t="str">
        <f t="shared" si="17"/>
        <v> </v>
      </c>
      <c r="P86" s="2">
        <f t="shared" si="16"/>
        <v>2715.3417721518954</v>
      </c>
    </row>
    <row r="87" spans="5:16" ht="15.75">
      <c r="E87" s="2">
        <f t="shared" si="11"/>
      </c>
      <c r="F87" s="2">
        <f>Data!A132</f>
      </c>
      <c r="G87" s="2">
        <f>IF(Data!B132&lt;&gt;" ",Data!B132," ")</f>
        <v>0</v>
      </c>
      <c r="H87" s="2">
        <f>IF(Data!C132=1,0.05,-1)</f>
        <v>-1</v>
      </c>
      <c r="I87" s="2">
        <f t="shared" si="12"/>
        <v>0</v>
      </c>
      <c r="J87" s="2">
        <f t="shared" si="9"/>
        <v>0</v>
      </c>
      <c r="K87" s="2">
        <f t="shared" si="10"/>
        <v>0</v>
      </c>
      <c r="L87" s="2">
        <f t="shared" si="13"/>
        <v>1.0113402687304711</v>
      </c>
      <c r="M87" s="2">
        <f t="shared" si="14"/>
        <v>0.7355908289241623</v>
      </c>
      <c r="N87" s="2">
        <f t="shared" si="15"/>
        <v>0.9550822784810126</v>
      </c>
      <c r="O87" s="2" t="str">
        <f t="shared" si="17"/>
        <v> </v>
      </c>
      <c r="P87" s="2">
        <f t="shared" si="16"/>
        <v>2748.455696202528</v>
      </c>
    </row>
    <row r="88" spans="5:16" ht="15.75">
      <c r="E88" s="2">
        <f t="shared" si="11"/>
      </c>
      <c r="F88" s="2">
        <f>Data!A133</f>
      </c>
      <c r="G88" s="2">
        <f>IF(Data!B133&lt;&gt;" ",Data!B133," ")</f>
        <v>0</v>
      </c>
      <c r="H88" s="2">
        <f>IF(Data!C133=1,0.05,-1)</f>
        <v>-1</v>
      </c>
      <c r="I88" s="2">
        <f t="shared" si="12"/>
        <v>0</v>
      </c>
      <c r="J88" s="2">
        <f t="shared" si="9"/>
        <v>0</v>
      </c>
      <c r="K88" s="2">
        <f t="shared" si="10"/>
        <v>0</v>
      </c>
      <c r="L88" s="2">
        <f t="shared" si="13"/>
        <v>1.0113402687304711</v>
      </c>
      <c r="M88" s="2">
        <f t="shared" si="14"/>
        <v>0.7355908289241623</v>
      </c>
      <c r="N88" s="2">
        <f t="shared" si="15"/>
        <v>0.9550822784810126</v>
      </c>
      <c r="O88" s="2" t="str">
        <f t="shared" si="17"/>
        <v> </v>
      </c>
      <c r="P88" s="2">
        <f t="shared" si="16"/>
        <v>2781.569620253161</v>
      </c>
    </row>
    <row r="89" spans="5:16" ht="15.75">
      <c r="E89" s="2">
        <f t="shared" si="11"/>
      </c>
      <c r="F89" s="2">
        <f>Data!A134</f>
      </c>
      <c r="G89" s="2">
        <f>IF(Data!B134&lt;&gt;" ",Data!B134," ")</f>
        <v>0</v>
      </c>
      <c r="H89" s="2">
        <f>IF(Data!C134=1,0.05,-1)</f>
        <v>-1</v>
      </c>
      <c r="I89" s="2">
        <f t="shared" si="12"/>
        <v>0</v>
      </c>
      <c r="J89" s="2">
        <f t="shared" si="9"/>
        <v>0</v>
      </c>
      <c r="K89" s="2">
        <f t="shared" si="10"/>
        <v>0</v>
      </c>
      <c r="L89" s="2">
        <f t="shared" si="13"/>
        <v>1.0113402687304711</v>
      </c>
      <c r="M89" s="2">
        <f t="shared" si="14"/>
        <v>0.7355908289241623</v>
      </c>
      <c r="N89" s="2">
        <f t="shared" si="15"/>
        <v>0.9550822784810126</v>
      </c>
      <c r="O89" s="2" t="str">
        <f t="shared" si="17"/>
        <v> </v>
      </c>
      <c r="P89" s="2">
        <f t="shared" si="16"/>
        <v>2814.6835443037935</v>
      </c>
    </row>
    <row r="90" spans="5:16" ht="15.75">
      <c r="E90" s="2">
        <f t="shared" si="11"/>
      </c>
      <c r="F90" s="2">
        <f>Data!A135</f>
      </c>
      <c r="G90" s="2">
        <f>IF(Data!B135&lt;&gt;" ",Data!B135," ")</f>
        <v>0</v>
      </c>
      <c r="H90" s="2">
        <f>IF(Data!C135=1,0.05,-1)</f>
        <v>-1</v>
      </c>
      <c r="I90" s="2">
        <f t="shared" si="12"/>
        <v>0</v>
      </c>
      <c r="J90" s="2">
        <f t="shared" si="9"/>
        <v>0</v>
      </c>
      <c r="K90" s="2">
        <f t="shared" si="10"/>
        <v>0</v>
      </c>
      <c r="L90" s="2">
        <f t="shared" si="13"/>
        <v>1.0113402687304711</v>
      </c>
      <c r="M90" s="2">
        <f t="shared" si="14"/>
        <v>0.7355908289241623</v>
      </c>
      <c r="N90" s="2">
        <f t="shared" si="15"/>
        <v>0.9550822784810126</v>
      </c>
      <c r="O90" s="2" t="str">
        <f t="shared" si="17"/>
        <v> </v>
      </c>
      <c r="P90" s="2">
        <f t="shared" si="16"/>
        <v>2847.797468354426</v>
      </c>
    </row>
    <row r="91" spans="5:16" ht="15.75">
      <c r="E91" s="2">
        <f t="shared" si="11"/>
      </c>
      <c r="F91" s="2">
        <f>Data!A136</f>
      </c>
      <c r="G91" s="2">
        <f>IF(Data!B136&lt;&gt;" ",Data!B136," ")</f>
        <v>0</v>
      </c>
      <c r="H91" s="2">
        <f>IF(Data!C136=1,0.05,-1)</f>
        <v>-1</v>
      </c>
      <c r="I91" s="2">
        <f t="shared" si="12"/>
        <v>0</v>
      </c>
      <c r="J91" s="2">
        <f t="shared" si="9"/>
        <v>0</v>
      </c>
      <c r="K91" s="2">
        <f t="shared" si="10"/>
        <v>0</v>
      </c>
      <c r="L91" s="2">
        <f t="shared" si="13"/>
        <v>1.0113402687304711</v>
      </c>
      <c r="M91" s="2">
        <f t="shared" si="14"/>
        <v>0.7355908289241623</v>
      </c>
      <c r="N91" s="2">
        <f t="shared" si="15"/>
        <v>0.9550822784810126</v>
      </c>
      <c r="O91" s="2" t="str">
        <f t="shared" si="17"/>
        <v> </v>
      </c>
      <c r="P91" s="2">
        <f t="shared" si="16"/>
        <v>2880.911392405059</v>
      </c>
    </row>
    <row r="92" spans="5:16" ht="15.75">
      <c r="E92" s="2">
        <f t="shared" si="11"/>
      </c>
      <c r="F92" s="2">
        <f>Data!A137</f>
      </c>
      <c r="G92" s="2">
        <f>IF(Data!B137&lt;&gt;" ",Data!B137," ")</f>
        <v>0</v>
      </c>
      <c r="H92" s="2">
        <f>IF(Data!C137=1,0.05,-1)</f>
        <v>-1</v>
      </c>
      <c r="I92" s="2">
        <f t="shared" si="12"/>
        <v>0</v>
      </c>
      <c r="J92" s="2">
        <f t="shared" si="9"/>
        <v>0</v>
      </c>
      <c r="K92" s="2">
        <f t="shared" si="10"/>
        <v>0</v>
      </c>
      <c r="L92" s="2">
        <f t="shared" si="13"/>
        <v>1.0113402687304711</v>
      </c>
      <c r="M92" s="2">
        <f t="shared" si="14"/>
        <v>0.7355908289241623</v>
      </c>
      <c r="N92" s="2">
        <f t="shared" si="15"/>
        <v>0.9550822784810126</v>
      </c>
      <c r="O92" s="2" t="str">
        <f t="shared" si="17"/>
        <v> </v>
      </c>
      <c r="P92" s="2">
        <f t="shared" si="16"/>
        <v>2914.0253164556916</v>
      </c>
    </row>
    <row r="93" spans="5:16" ht="15.75">
      <c r="E93" s="2">
        <f t="shared" si="11"/>
      </c>
      <c r="F93" s="2">
        <f>Data!A138</f>
      </c>
      <c r="G93" s="2">
        <f>IF(Data!B138&lt;&gt;" ",Data!B138," ")</f>
        <v>0</v>
      </c>
      <c r="H93" s="2">
        <f>IF(Data!C138=1,0.05,-1)</f>
        <v>-1</v>
      </c>
      <c r="I93" s="2">
        <f t="shared" si="12"/>
        <v>0</v>
      </c>
      <c r="J93" s="2">
        <f t="shared" si="9"/>
        <v>0</v>
      </c>
      <c r="K93" s="2">
        <f t="shared" si="10"/>
        <v>0</v>
      </c>
      <c r="L93" s="2">
        <f t="shared" si="13"/>
        <v>1.0113402687304711</v>
      </c>
      <c r="M93" s="2">
        <f t="shared" si="14"/>
        <v>0.7355908289241623</v>
      </c>
      <c r="N93" s="2">
        <f t="shared" si="15"/>
        <v>0.9550822784810126</v>
      </c>
      <c r="O93" s="2" t="str">
        <f t="shared" si="17"/>
        <v> </v>
      </c>
      <c r="P93" s="2">
        <f t="shared" si="16"/>
        <v>2947.1392405063243</v>
      </c>
    </row>
    <row r="94" spans="5:16" ht="15.75">
      <c r="E94" s="2">
        <f t="shared" si="11"/>
      </c>
      <c r="F94" s="2">
        <f>Data!A139</f>
      </c>
      <c r="G94" s="2">
        <f>IF(Data!B139&lt;&gt;" ",Data!B139," ")</f>
        <v>0</v>
      </c>
      <c r="H94" s="2">
        <f>IF(Data!C139=1,0.05,-1)</f>
        <v>-1</v>
      </c>
      <c r="I94" s="2">
        <f t="shared" si="12"/>
        <v>0</v>
      </c>
      <c r="J94" s="2">
        <f t="shared" si="9"/>
        <v>0</v>
      </c>
      <c r="K94" s="2">
        <f t="shared" si="10"/>
        <v>0</v>
      </c>
      <c r="L94" s="2">
        <f t="shared" si="13"/>
        <v>1.0113402687304711</v>
      </c>
      <c r="M94" s="2">
        <f t="shared" si="14"/>
        <v>0.7355908289241623</v>
      </c>
      <c r="N94" s="2">
        <f t="shared" si="15"/>
        <v>0.9550822784810126</v>
      </c>
      <c r="O94" s="2" t="str">
        <f t="shared" si="17"/>
        <v> </v>
      </c>
      <c r="P94" s="2">
        <f t="shared" si="16"/>
        <v>2980.253164556957</v>
      </c>
    </row>
    <row r="95" spans="5:16" ht="15.75">
      <c r="E95" s="2">
        <f t="shared" si="11"/>
      </c>
      <c r="F95" s="2">
        <f>Data!A140</f>
      </c>
      <c r="G95" s="2">
        <f>IF(Data!B140&lt;&gt;" ",Data!B140," ")</f>
        <v>0</v>
      </c>
      <c r="H95" s="2">
        <f>IF(Data!C140=1,0.05,-1)</f>
        <v>-1</v>
      </c>
      <c r="I95" s="2">
        <f t="shared" si="12"/>
        <v>0</v>
      </c>
      <c r="J95" s="2">
        <f t="shared" si="9"/>
        <v>0</v>
      </c>
      <c r="K95" s="2">
        <f t="shared" si="10"/>
        <v>0</v>
      </c>
      <c r="L95" s="2">
        <f t="shared" si="13"/>
        <v>1.0113402687304711</v>
      </c>
      <c r="M95" s="2">
        <f t="shared" si="14"/>
        <v>0.7355908289241623</v>
      </c>
      <c r="N95" s="2">
        <f t="shared" si="15"/>
        <v>0.9550822784810126</v>
      </c>
      <c r="O95" s="2" t="str">
        <f t="shared" si="17"/>
        <v> </v>
      </c>
      <c r="P95" s="2">
        <f t="shared" si="16"/>
        <v>3013.3670886075897</v>
      </c>
    </row>
    <row r="96" spans="5:16" ht="15.75">
      <c r="E96" s="2">
        <f t="shared" si="11"/>
      </c>
      <c r="F96" s="2">
        <f>Data!A141</f>
      </c>
      <c r="G96" s="2">
        <f>IF(Data!B141&lt;&gt;" ",Data!B141," ")</f>
        <v>0</v>
      </c>
      <c r="H96" s="2">
        <f>IF(Data!C141=1,0.05,-1)</f>
        <v>-1</v>
      </c>
      <c r="I96" s="2">
        <f t="shared" si="12"/>
        <v>0</v>
      </c>
      <c r="J96" s="2">
        <f t="shared" si="9"/>
        <v>0</v>
      </c>
      <c r="K96" s="2">
        <f t="shared" si="10"/>
        <v>0</v>
      </c>
      <c r="L96" s="2">
        <f t="shared" si="13"/>
        <v>1.0113402687304711</v>
      </c>
      <c r="M96" s="2">
        <f t="shared" si="14"/>
        <v>0.7355908289241623</v>
      </c>
      <c r="N96" s="2">
        <f t="shared" si="15"/>
        <v>0.9550822784810126</v>
      </c>
      <c r="O96" s="2" t="str">
        <f t="shared" si="17"/>
        <v> </v>
      </c>
      <c r="P96" s="2">
        <f t="shared" si="16"/>
        <v>3046.4810126582224</v>
      </c>
    </row>
    <row r="97" spans="5:16" ht="15.75">
      <c r="E97" s="2">
        <f t="shared" si="11"/>
      </c>
      <c r="F97" s="2">
        <f>Data!A142</f>
      </c>
      <c r="G97" s="2">
        <f>IF(Data!B142&lt;&gt;" ",Data!B142," ")</f>
        <v>0</v>
      </c>
      <c r="H97" s="2">
        <f>IF(Data!C142=1,0.05,-1)</f>
        <v>-1</v>
      </c>
      <c r="I97" s="2">
        <f t="shared" si="12"/>
        <v>0</v>
      </c>
      <c r="J97" s="2">
        <f t="shared" si="9"/>
        <v>0</v>
      </c>
      <c r="K97" s="2">
        <f t="shared" si="10"/>
        <v>0</v>
      </c>
      <c r="L97" s="2">
        <f t="shared" si="13"/>
        <v>1.0113402687304711</v>
      </c>
      <c r="M97" s="2">
        <f t="shared" si="14"/>
        <v>0.7355908289241623</v>
      </c>
      <c r="N97" s="2">
        <f t="shared" si="15"/>
        <v>0.9550822784810126</v>
      </c>
      <c r="O97" s="2" t="str">
        <f t="shared" si="17"/>
        <v> </v>
      </c>
      <c r="P97" s="2">
        <f t="shared" si="16"/>
        <v>3079.594936708855</v>
      </c>
    </row>
    <row r="98" spans="5:16" ht="15.75">
      <c r="E98" s="2">
        <f t="shared" si="11"/>
      </c>
      <c r="F98" s="2">
        <f>Data!A143</f>
      </c>
      <c r="G98" s="2">
        <f>IF(Data!B143&lt;&gt;" ",Data!B143," ")</f>
        <v>0</v>
      </c>
      <c r="H98" s="2">
        <f>IF(Data!C143=1,0.05,-1)</f>
        <v>-1</v>
      </c>
      <c r="I98" s="2">
        <f t="shared" si="12"/>
        <v>0</v>
      </c>
      <c r="J98" s="2">
        <f t="shared" si="9"/>
        <v>0</v>
      </c>
      <c r="K98" s="2">
        <f t="shared" si="10"/>
        <v>0</v>
      </c>
      <c r="L98" s="2">
        <f t="shared" si="13"/>
        <v>1.0113402687304711</v>
      </c>
      <c r="M98" s="2">
        <f t="shared" si="14"/>
        <v>0.7355908289241623</v>
      </c>
      <c r="N98" s="2">
        <f t="shared" si="15"/>
        <v>0.9550822784810126</v>
      </c>
      <c r="O98" s="2" t="str">
        <f t="shared" si="17"/>
        <v> </v>
      </c>
      <c r="P98" s="2">
        <f t="shared" si="16"/>
        <v>3112.708860759488</v>
      </c>
    </row>
    <row r="99" spans="5:16" ht="15.75">
      <c r="E99" s="2">
        <f t="shared" si="11"/>
      </c>
      <c r="F99" s="2">
        <f>Data!A144</f>
      </c>
      <c r="G99" s="2">
        <f>IF(Data!B144&lt;&gt;" ",Data!B144," ")</f>
        <v>0</v>
      </c>
      <c r="H99" s="2">
        <f>IF(Data!C144=1,0.05,-1)</f>
        <v>-1</v>
      </c>
      <c r="I99" s="2">
        <f t="shared" si="12"/>
        <v>0</v>
      </c>
      <c r="J99" s="2">
        <f t="shared" si="9"/>
        <v>0</v>
      </c>
      <c r="K99" s="2">
        <f t="shared" si="10"/>
        <v>0</v>
      </c>
      <c r="L99" s="2">
        <f t="shared" si="13"/>
        <v>1.0113402687304711</v>
      </c>
      <c r="M99" s="2">
        <f t="shared" si="14"/>
        <v>0.7355908289241623</v>
      </c>
      <c r="N99" s="2">
        <f t="shared" si="15"/>
        <v>0.9550822784810126</v>
      </c>
      <c r="O99" s="2" t="str">
        <f t="shared" si="17"/>
        <v> </v>
      </c>
      <c r="P99" s="2">
        <f t="shared" si="16"/>
        <v>3145.8227848101205</v>
      </c>
    </row>
    <row r="100" spans="5:16" ht="15.75">
      <c r="E100" s="2">
        <f t="shared" si="11"/>
      </c>
      <c r="F100" s="2">
        <f>Data!A145</f>
      </c>
      <c r="G100" s="2">
        <f>IF(Data!B145&lt;&gt;" ",Data!B145," ")</f>
        <v>0</v>
      </c>
      <c r="H100" s="2">
        <f>IF(Data!C145=1,0.05,-1)</f>
        <v>-1</v>
      </c>
      <c r="I100" s="2">
        <f t="shared" si="12"/>
        <v>0</v>
      </c>
      <c r="J100" s="2">
        <f t="shared" si="9"/>
        <v>0</v>
      </c>
      <c r="K100" s="2">
        <f t="shared" si="10"/>
        <v>0</v>
      </c>
      <c r="L100" s="2">
        <f t="shared" si="13"/>
        <v>1.0113402687304711</v>
      </c>
      <c r="M100" s="2">
        <f t="shared" si="14"/>
        <v>0.7355908289241623</v>
      </c>
      <c r="N100" s="2">
        <f t="shared" si="15"/>
        <v>0.9550822784810126</v>
      </c>
      <c r="O100" s="2" t="str">
        <f t="shared" si="17"/>
        <v> </v>
      </c>
      <c r="P100" s="2">
        <f t="shared" si="16"/>
        <v>3178.9367088607532</v>
      </c>
    </row>
    <row r="101" spans="5:16" ht="15.75">
      <c r="E101" s="2">
        <f t="shared" si="11"/>
      </c>
      <c r="F101" s="2">
        <f>Data!A146</f>
      </c>
      <c r="G101" s="2">
        <f>IF(Data!B146&lt;&gt;" ",Data!B146," ")</f>
        <v>0</v>
      </c>
      <c r="H101" s="2">
        <f>IF(Data!C146=1,0.05,-1)</f>
        <v>-1</v>
      </c>
      <c r="I101" s="2">
        <f t="shared" si="12"/>
        <v>0</v>
      </c>
      <c r="J101" s="2">
        <f t="shared" si="9"/>
        <v>0</v>
      </c>
      <c r="K101" s="2">
        <f t="shared" si="10"/>
        <v>0</v>
      </c>
      <c r="L101" s="2">
        <f t="shared" si="13"/>
        <v>1.0113402687304711</v>
      </c>
      <c r="M101" s="2">
        <f t="shared" si="14"/>
        <v>0.7355908289241623</v>
      </c>
      <c r="N101" s="2">
        <f t="shared" si="15"/>
        <v>0.9550822784810126</v>
      </c>
      <c r="O101" s="2" t="str">
        <f t="shared" si="17"/>
        <v> </v>
      </c>
      <c r="P101" s="2">
        <f t="shared" si="16"/>
        <v>3212.050632911386</v>
      </c>
    </row>
    <row r="102" spans="5:16" ht="15.75">
      <c r="E102" s="2">
        <f t="shared" si="11"/>
      </c>
      <c r="F102" s="2">
        <f>Data!A147</f>
      </c>
      <c r="G102" s="2">
        <f>IF(Data!B147&lt;&gt;" ",Data!B147," ")</f>
        <v>0</v>
      </c>
      <c r="H102" s="2">
        <f>IF(Data!C147=1,0.05,-1)</f>
        <v>-1</v>
      </c>
      <c r="I102" s="2">
        <f t="shared" si="12"/>
        <v>0</v>
      </c>
      <c r="J102" s="2">
        <f t="shared" si="9"/>
        <v>0</v>
      </c>
      <c r="K102" s="2">
        <f t="shared" si="10"/>
        <v>0</v>
      </c>
      <c r="L102" s="2">
        <f t="shared" si="13"/>
        <v>1.0113402687304711</v>
      </c>
      <c r="M102" s="2">
        <f t="shared" si="14"/>
        <v>0.7355908289241623</v>
      </c>
      <c r="N102" s="2">
        <f t="shared" si="15"/>
        <v>0.9550822784810126</v>
      </c>
      <c r="O102" s="2" t="str">
        <f t="shared" si="17"/>
        <v> </v>
      </c>
      <c r="P102" s="2">
        <f t="shared" si="16"/>
        <v>3245.1645569620187</v>
      </c>
    </row>
    <row r="103" spans="5:16" ht="15.75">
      <c r="E103" s="2">
        <f t="shared" si="11"/>
      </c>
      <c r="F103" s="2">
        <f>Data!A148</f>
      </c>
      <c r="G103" s="2">
        <f>IF(Data!B148&lt;&gt;" ",Data!B148," ")</f>
        <v>0</v>
      </c>
      <c r="H103" s="2">
        <f>IF(Data!C148=1,0.05,-1)</f>
        <v>-1</v>
      </c>
      <c r="I103" s="2">
        <f t="shared" si="12"/>
        <v>0</v>
      </c>
      <c r="J103" s="2">
        <f t="shared" si="9"/>
        <v>0</v>
      </c>
      <c r="K103" s="2">
        <f t="shared" si="10"/>
        <v>0</v>
      </c>
      <c r="L103" s="2">
        <f t="shared" si="13"/>
        <v>1.0113402687304711</v>
      </c>
      <c r="M103" s="2">
        <f t="shared" si="14"/>
        <v>0.7355908289241623</v>
      </c>
      <c r="N103" s="2">
        <f t="shared" si="15"/>
        <v>0.9550822784810126</v>
      </c>
      <c r="O103" s="2" t="str">
        <f t="shared" si="17"/>
        <v> </v>
      </c>
      <c r="P103" s="2">
        <f t="shared" si="16"/>
        <v>3278.2784810126514</v>
      </c>
    </row>
    <row r="104" spans="5:16" ht="15.75">
      <c r="E104" s="2">
        <f t="shared" si="11"/>
      </c>
      <c r="F104" s="2">
        <f>Data!A149</f>
      </c>
      <c r="G104" s="2">
        <f>IF(Data!B149&lt;&gt;" ",Data!B149," ")</f>
        <v>0</v>
      </c>
      <c r="H104" s="2">
        <f>IF(Data!C149=1,0.05,-1)</f>
        <v>-1</v>
      </c>
      <c r="I104" s="2">
        <f t="shared" si="12"/>
        <v>0</v>
      </c>
      <c r="J104" s="2">
        <f t="shared" si="9"/>
        <v>0</v>
      </c>
      <c r="K104" s="2">
        <f t="shared" si="10"/>
        <v>0</v>
      </c>
      <c r="L104" s="2">
        <f t="shared" si="13"/>
        <v>1.0113402687304711</v>
      </c>
      <c r="M104" s="2">
        <f t="shared" si="14"/>
        <v>0.7355908289241623</v>
      </c>
      <c r="N104" s="2">
        <f t="shared" si="15"/>
        <v>0.9550822784810126</v>
      </c>
      <c r="O104" s="2" t="str">
        <f t="shared" si="17"/>
        <v> </v>
      </c>
      <c r="P104" s="2">
        <f t="shared" si="16"/>
        <v>3311.392405063284</v>
      </c>
    </row>
    <row r="105" spans="5:16" ht="15.75">
      <c r="E105" s="2">
        <f t="shared" si="11"/>
      </c>
      <c r="F105" s="2">
        <f>Data!A150</f>
      </c>
      <c r="G105" s="2">
        <f>IF(Data!B150&lt;&gt;" ",Data!B150," ")</f>
        <v>0</v>
      </c>
      <c r="H105" s="2">
        <f>IF(Data!C150=1,0.05,-1)</f>
        <v>-1</v>
      </c>
      <c r="I105" s="2">
        <f t="shared" si="12"/>
        <v>0</v>
      </c>
      <c r="J105" s="2">
        <f t="shared" si="9"/>
        <v>0</v>
      </c>
      <c r="K105" s="2">
        <f t="shared" si="10"/>
        <v>0</v>
      </c>
      <c r="L105" s="2">
        <f t="shared" si="13"/>
        <v>1.0113402687304711</v>
      </c>
      <c r="M105" s="2">
        <f t="shared" si="14"/>
        <v>0.7355908289241623</v>
      </c>
      <c r="N105" s="2">
        <f t="shared" si="15"/>
        <v>0.9550822784810126</v>
      </c>
      <c r="O105" s="2" t="str">
        <f t="shared" si="17"/>
        <v> </v>
      </c>
      <c r="P105" s="2">
        <f t="shared" si="16"/>
        <v>3344.5063291139168</v>
      </c>
    </row>
    <row r="106" spans="5:16" ht="15.75">
      <c r="E106" s="2">
        <f t="shared" si="11"/>
      </c>
      <c r="F106" s="2">
        <f>Data!A151</f>
      </c>
      <c r="G106" s="2">
        <f>IF(Data!B151&lt;&gt;" ",Data!B151," ")</f>
        <v>0</v>
      </c>
      <c r="H106" s="2">
        <f>IF(Data!C151=1,0.05,-1)</f>
        <v>-1</v>
      </c>
      <c r="I106" s="2">
        <f t="shared" si="12"/>
        <v>0</v>
      </c>
      <c r="J106" s="2">
        <f t="shared" si="9"/>
        <v>0</v>
      </c>
      <c r="K106" s="2">
        <f t="shared" si="10"/>
        <v>0</v>
      </c>
      <c r="L106" s="2">
        <f t="shared" si="13"/>
        <v>1.0113402687304711</v>
      </c>
      <c r="M106" s="2">
        <f t="shared" si="14"/>
        <v>0.7355908289241623</v>
      </c>
      <c r="N106" s="2">
        <f t="shared" si="15"/>
        <v>0.9550822784810126</v>
      </c>
      <c r="O106" s="2" t="str">
        <f t="shared" si="17"/>
        <v> </v>
      </c>
      <c r="P106" s="2">
        <f t="shared" si="16"/>
        <v>3377.6202531645495</v>
      </c>
    </row>
    <row r="107" spans="5:16" ht="15.75">
      <c r="E107" s="2">
        <f t="shared" si="11"/>
      </c>
      <c r="F107" s="2">
        <f>Data!A152</f>
      </c>
      <c r="G107" s="2">
        <f>IF(Data!B152&lt;&gt;" ",Data!B152," ")</f>
        <v>0</v>
      </c>
      <c r="H107" s="2">
        <f>IF(Data!C152=1,0.05,-1)</f>
        <v>-1</v>
      </c>
      <c r="I107" s="2">
        <f t="shared" si="12"/>
        <v>0</v>
      </c>
      <c r="J107" s="2">
        <f t="shared" si="9"/>
        <v>0</v>
      </c>
      <c r="K107" s="2">
        <f t="shared" si="10"/>
        <v>0</v>
      </c>
      <c r="L107" s="2">
        <f t="shared" si="13"/>
        <v>1.0113402687304711</v>
      </c>
      <c r="M107" s="2">
        <f t="shared" si="14"/>
        <v>0.7355908289241623</v>
      </c>
      <c r="N107" s="2">
        <f t="shared" si="15"/>
        <v>0.9550822784810126</v>
      </c>
      <c r="O107" s="2" t="str">
        <f t="shared" si="17"/>
        <v> </v>
      </c>
      <c r="P107" s="2">
        <f t="shared" si="16"/>
        <v>3410.734177215182</v>
      </c>
    </row>
    <row r="108" spans="5:16" ht="15.75">
      <c r="E108" s="2">
        <f t="shared" si="11"/>
      </c>
      <c r="F108" s="2">
        <f>Data!A153</f>
      </c>
      <c r="G108" s="2">
        <f>IF(Data!B153&lt;&gt;" ",Data!B153," ")</f>
        <v>0</v>
      </c>
      <c r="H108" s="2">
        <f>IF(Data!C153=1,0.05,-1)</f>
        <v>-1</v>
      </c>
      <c r="I108" s="2">
        <f t="shared" si="12"/>
        <v>0</v>
      </c>
      <c r="J108" s="2">
        <f t="shared" si="9"/>
        <v>0</v>
      </c>
      <c r="K108" s="2">
        <f t="shared" si="10"/>
        <v>0</v>
      </c>
      <c r="L108" s="2">
        <f t="shared" si="13"/>
        <v>1.0113402687304711</v>
      </c>
      <c r="M108" s="2">
        <f t="shared" si="14"/>
        <v>0.7355908289241623</v>
      </c>
      <c r="N108" s="2">
        <f t="shared" si="15"/>
        <v>0.9550822784810126</v>
      </c>
      <c r="O108" s="2" t="str">
        <f t="shared" si="17"/>
        <v> </v>
      </c>
      <c r="P108" s="2">
        <f t="shared" si="16"/>
        <v>3443.848101265815</v>
      </c>
    </row>
    <row r="109" spans="5:16" ht="15.75">
      <c r="E109" s="2">
        <f t="shared" si="11"/>
      </c>
      <c r="F109" s="2">
        <f>Data!A154</f>
      </c>
      <c r="G109" s="2">
        <f>IF(Data!B154&lt;&gt;" ",Data!B154," ")</f>
        <v>0</v>
      </c>
      <c r="H109" s="2">
        <f>IF(Data!C154=1,0.05,-1)</f>
        <v>-1</v>
      </c>
      <c r="I109" s="2">
        <f t="shared" si="12"/>
        <v>0</v>
      </c>
      <c r="J109" s="2">
        <f t="shared" si="9"/>
        <v>0</v>
      </c>
      <c r="K109" s="2">
        <f t="shared" si="10"/>
        <v>0</v>
      </c>
      <c r="L109" s="2">
        <f t="shared" si="13"/>
        <v>1.0113402687304711</v>
      </c>
      <c r="M109" s="2">
        <f t="shared" si="14"/>
        <v>0.7355908289241623</v>
      </c>
      <c r="N109" s="2">
        <f t="shared" si="15"/>
        <v>0.9550822784810126</v>
      </c>
      <c r="O109" s="2" t="str">
        <f t="shared" si="17"/>
        <v> </v>
      </c>
      <c r="P109" s="2">
        <f t="shared" si="16"/>
        <v>3476.9620253164476</v>
      </c>
    </row>
    <row r="110" spans="5:16" ht="15.75">
      <c r="E110" s="2">
        <f t="shared" si="11"/>
      </c>
      <c r="F110" s="2">
        <f>Data!A155</f>
      </c>
      <c r="G110" s="2">
        <f>IF(Data!B155&lt;&gt;" ",Data!B155," ")</f>
        <v>0</v>
      </c>
      <c r="H110" s="2">
        <f>IF(Data!C155=1,0.05,-1)</f>
        <v>-1</v>
      </c>
      <c r="I110" s="2">
        <f t="shared" si="12"/>
        <v>0</v>
      </c>
      <c r="J110" s="2">
        <f t="shared" si="9"/>
        <v>0</v>
      </c>
      <c r="K110" s="2">
        <f t="shared" si="10"/>
        <v>0</v>
      </c>
      <c r="L110" s="2">
        <f t="shared" si="13"/>
        <v>1.0113402687304711</v>
      </c>
      <c r="M110" s="2">
        <f t="shared" si="14"/>
        <v>0.7355908289241623</v>
      </c>
      <c r="N110" s="2">
        <f t="shared" si="15"/>
        <v>0.9550822784810126</v>
      </c>
      <c r="O110" s="2" t="str">
        <f t="shared" si="17"/>
        <v> </v>
      </c>
      <c r="P110" s="2">
        <f t="shared" si="16"/>
        <v>3510.0759493670803</v>
      </c>
    </row>
    <row r="111" spans="5:16" ht="15.75">
      <c r="E111" s="2">
        <f t="shared" si="11"/>
      </c>
      <c r="F111" s="2">
        <f>Data!A156</f>
      </c>
      <c r="G111" s="2">
        <f>IF(Data!B156&lt;&gt;" ",Data!B156," ")</f>
        <v>0</v>
      </c>
      <c r="H111" s="2">
        <f>IF(Data!C156=1,0.05,-1)</f>
        <v>-1</v>
      </c>
      <c r="I111" s="2">
        <f t="shared" si="12"/>
        <v>0</v>
      </c>
      <c r="J111" s="2">
        <f aca="true" t="shared" si="18" ref="J111:J155">IF(G111&lt;&gt;0,(F111*G111),0)</f>
        <v>0</v>
      </c>
      <c r="K111" s="2">
        <f t="shared" si="10"/>
        <v>0</v>
      </c>
      <c r="L111" s="2">
        <f t="shared" si="13"/>
        <v>1.0113402687304711</v>
      </c>
      <c r="M111" s="2">
        <f t="shared" si="14"/>
        <v>0.7355908289241623</v>
      </c>
      <c r="N111" s="2">
        <f t="shared" si="15"/>
        <v>0.9550822784810126</v>
      </c>
      <c r="O111" s="2" t="str">
        <f t="shared" si="17"/>
        <v> </v>
      </c>
      <c r="P111" s="2">
        <f t="shared" si="16"/>
        <v>3543.189873417713</v>
      </c>
    </row>
    <row r="112" spans="5:16" ht="15.75">
      <c r="E112" s="2">
        <f t="shared" si="11"/>
      </c>
      <c r="F112" s="2">
        <f>Data!A157</f>
      </c>
      <c r="G112" s="2">
        <f>IF(Data!B157&lt;&gt;" ",Data!B157," ")</f>
        <v>0</v>
      </c>
      <c r="H112" s="2">
        <f>IF(Data!C157=1,0.05,-1)</f>
        <v>-1</v>
      </c>
      <c r="I112" s="2">
        <f t="shared" si="12"/>
        <v>0</v>
      </c>
      <c r="J112" s="2">
        <f t="shared" si="18"/>
        <v>0</v>
      </c>
      <c r="K112" s="2">
        <f aca="true" t="shared" si="19" ref="K112:K155">IF(G112&lt;&gt;0,E112*G112,0)</f>
        <v>0</v>
      </c>
      <c r="L112" s="2">
        <f t="shared" si="13"/>
        <v>1.0113402687304711</v>
      </c>
      <c r="M112" s="2">
        <f t="shared" si="14"/>
        <v>0.7355908289241623</v>
      </c>
      <c r="N112" s="2">
        <f t="shared" si="15"/>
        <v>0.9550822784810126</v>
      </c>
      <c r="O112" s="2" t="str">
        <f t="shared" si="17"/>
        <v> </v>
      </c>
      <c r="P112" s="2">
        <f t="shared" si="16"/>
        <v>3576.3037974683457</v>
      </c>
    </row>
    <row r="113" spans="5:16" ht="15.75">
      <c r="E113" s="2">
        <f t="shared" si="11"/>
      </c>
      <c r="F113" s="2">
        <f>Data!A158</f>
      </c>
      <c r="G113" s="2">
        <f>IF(Data!B158&lt;&gt;" ",Data!B158," ")</f>
        <v>0</v>
      </c>
      <c r="H113" s="2">
        <f>IF(Data!C158=1,0.05,-1)</f>
        <v>-1</v>
      </c>
      <c r="I113" s="2">
        <f t="shared" si="12"/>
        <v>0</v>
      </c>
      <c r="J113" s="2">
        <f t="shared" si="18"/>
        <v>0</v>
      </c>
      <c r="K113" s="2">
        <f t="shared" si="19"/>
        <v>0</v>
      </c>
      <c r="L113" s="2">
        <f t="shared" si="13"/>
        <v>1.0113402687304711</v>
      </c>
      <c r="M113" s="2">
        <f t="shared" si="14"/>
        <v>0.7355908289241623</v>
      </c>
      <c r="N113" s="2">
        <f t="shared" si="15"/>
        <v>0.9550822784810126</v>
      </c>
      <c r="O113" s="2" t="str">
        <f t="shared" si="17"/>
        <v> </v>
      </c>
      <c r="P113" s="2">
        <f t="shared" si="16"/>
        <v>3609.4177215189784</v>
      </c>
    </row>
    <row r="114" spans="5:16" ht="15.75">
      <c r="E114" s="2">
        <f t="shared" si="11"/>
      </c>
      <c r="F114" s="2">
        <f>Data!A159</f>
      </c>
      <c r="G114" s="2">
        <f>IF(Data!B159&lt;&gt;" ",Data!B159," ")</f>
        <v>0</v>
      </c>
      <c r="H114" s="2">
        <f>IF(Data!C159=1,0.05,-1)</f>
        <v>-1</v>
      </c>
      <c r="I114" s="2">
        <f t="shared" si="12"/>
        <v>0</v>
      </c>
      <c r="J114" s="2">
        <f t="shared" si="18"/>
        <v>0</v>
      </c>
      <c r="K114" s="2">
        <f t="shared" si="19"/>
        <v>0</v>
      </c>
      <c r="L114" s="2">
        <f t="shared" si="13"/>
        <v>1.0113402687304711</v>
      </c>
      <c r="M114" s="2">
        <f t="shared" si="14"/>
        <v>0.7355908289241623</v>
      </c>
      <c r="N114" s="2">
        <f t="shared" si="15"/>
        <v>0.9550822784810126</v>
      </c>
      <c r="O114" s="2" t="str">
        <f t="shared" si="17"/>
        <v> </v>
      </c>
      <c r="P114" s="2">
        <f t="shared" si="16"/>
        <v>3642.531645569611</v>
      </c>
    </row>
    <row r="115" spans="5:16" ht="15.75">
      <c r="E115" s="2">
        <f t="shared" si="11"/>
      </c>
      <c r="F115" s="2">
        <f>Data!A160</f>
      </c>
      <c r="G115" s="2">
        <f>IF(Data!B160&lt;&gt;" ",Data!B160," ")</f>
        <v>0</v>
      </c>
      <c r="H115" s="2">
        <f>IF(Data!C160=1,0.05,-1)</f>
        <v>-1</v>
      </c>
      <c r="I115" s="2">
        <f t="shared" si="12"/>
        <v>0</v>
      </c>
      <c r="J115" s="2">
        <f t="shared" si="18"/>
        <v>0</v>
      </c>
      <c r="K115" s="2">
        <f t="shared" si="19"/>
        <v>0</v>
      </c>
      <c r="L115" s="2">
        <f t="shared" si="13"/>
        <v>1.0113402687304711</v>
      </c>
      <c r="M115" s="2">
        <f t="shared" si="14"/>
        <v>0.7355908289241623</v>
      </c>
      <c r="N115" s="2">
        <f t="shared" si="15"/>
        <v>0.9550822784810126</v>
      </c>
      <c r="O115" s="2" t="str">
        <f t="shared" si="17"/>
        <v> </v>
      </c>
      <c r="P115" s="2">
        <f t="shared" si="16"/>
        <v>3675.645569620244</v>
      </c>
    </row>
    <row r="116" spans="5:16" ht="15.75">
      <c r="E116" s="2">
        <f t="shared" si="11"/>
      </c>
      <c r="F116" s="2">
        <f>Data!A161</f>
      </c>
      <c r="G116" s="2">
        <f>IF(Data!B161&lt;&gt;" ",Data!B161," ")</f>
        <v>0</v>
      </c>
      <c r="H116" s="2">
        <f>IF(Data!C161=1,0.05,-1)</f>
        <v>-1</v>
      </c>
      <c r="I116" s="2">
        <f t="shared" si="12"/>
        <v>0</v>
      </c>
      <c r="J116" s="2">
        <f t="shared" si="18"/>
        <v>0</v>
      </c>
      <c r="K116" s="2">
        <f t="shared" si="19"/>
        <v>0</v>
      </c>
      <c r="L116" s="2">
        <f t="shared" si="13"/>
        <v>1.0113402687304711</v>
      </c>
      <c r="M116" s="2">
        <f t="shared" si="14"/>
        <v>0.7355908289241623</v>
      </c>
      <c r="N116" s="2">
        <f t="shared" si="15"/>
        <v>0.9550822784810126</v>
      </c>
      <c r="O116" s="2" t="str">
        <f t="shared" si="17"/>
        <v> </v>
      </c>
      <c r="P116" s="2">
        <f t="shared" si="16"/>
        <v>3708.7594936708765</v>
      </c>
    </row>
    <row r="117" spans="5:16" ht="15.75">
      <c r="E117" s="2">
        <f t="shared" si="11"/>
      </c>
      <c r="F117" s="2">
        <f>Data!A162</f>
      </c>
      <c r="G117" s="2">
        <f>IF(Data!B162&lt;&gt;" ",Data!B162," ")</f>
        <v>0</v>
      </c>
      <c r="H117" s="2">
        <f>IF(Data!C162=1,0.05,-1)</f>
        <v>-1</v>
      </c>
      <c r="I117" s="2">
        <f t="shared" si="12"/>
        <v>0</v>
      </c>
      <c r="J117" s="2">
        <f t="shared" si="18"/>
        <v>0</v>
      </c>
      <c r="K117" s="2">
        <f t="shared" si="19"/>
        <v>0</v>
      </c>
      <c r="L117" s="2">
        <f t="shared" si="13"/>
        <v>1.0113402687304711</v>
      </c>
      <c r="M117" s="2">
        <f t="shared" si="14"/>
        <v>0.7355908289241623</v>
      </c>
      <c r="N117" s="2">
        <f t="shared" si="15"/>
        <v>0.9550822784810126</v>
      </c>
      <c r="O117" s="2" t="str">
        <f t="shared" si="17"/>
        <v> </v>
      </c>
      <c r="P117" s="2">
        <f t="shared" si="16"/>
        <v>3741.873417721509</v>
      </c>
    </row>
    <row r="118" spans="5:16" ht="15.75">
      <c r="E118" s="2">
        <f t="shared" si="11"/>
      </c>
      <c r="F118" s="2">
        <f>Data!A163</f>
      </c>
      <c r="G118" s="2">
        <f>IF(Data!B163&lt;&gt;" ",Data!B163," ")</f>
        <v>0</v>
      </c>
      <c r="H118" s="2">
        <f>IF(Data!C163=1,0.05,-1)</f>
        <v>-1</v>
      </c>
      <c r="I118" s="2">
        <f t="shared" si="12"/>
        <v>0</v>
      </c>
      <c r="J118" s="2">
        <f t="shared" si="18"/>
        <v>0</v>
      </c>
      <c r="K118" s="2">
        <f t="shared" si="19"/>
        <v>0</v>
      </c>
      <c r="L118" s="2">
        <f t="shared" si="13"/>
        <v>1.0113402687304711</v>
      </c>
      <c r="M118" s="2">
        <f t="shared" si="14"/>
        <v>0.7355908289241623</v>
      </c>
      <c r="N118" s="2">
        <f t="shared" si="15"/>
        <v>0.9550822784810126</v>
      </c>
      <c r="O118" s="2" t="str">
        <f t="shared" si="17"/>
        <v> </v>
      </c>
      <c r="P118" s="2">
        <f t="shared" si="16"/>
        <v>3774.987341772142</v>
      </c>
    </row>
    <row r="119" spans="5:16" ht="15.75">
      <c r="E119" s="2">
        <f t="shared" si="11"/>
      </c>
      <c r="F119" s="2">
        <f>Data!A164</f>
      </c>
      <c r="G119" s="2">
        <f>IF(Data!B164&lt;&gt;" ",Data!B164," ")</f>
        <v>0</v>
      </c>
      <c r="H119" s="2">
        <f>IF(Data!C164=1,0.05,-1)</f>
        <v>-1</v>
      </c>
      <c r="I119" s="2">
        <f t="shared" si="12"/>
        <v>0</v>
      </c>
      <c r="J119" s="2">
        <f t="shared" si="18"/>
        <v>0</v>
      </c>
      <c r="K119" s="2">
        <f t="shared" si="19"/>
        <v>0</v>
      </c>
      <c r="L119" s="2">
        <f t="shared" si="13"/>
        <v>1.0113402687304711</v>
      </c>
      <c r="M119" s="2">
        <f t="shared" si="14"/>
        <v>0.7355908289241623</v>
      </c>
      <c r="N119" s="2">
        <f t="shared" si="15"/>
        <v>0.9550822784810126</v>
      </c>
      <c r="O119" s="2" t="str">
        <f t="shared" si="17"/>
        <v> </v>
      </c>
      <c r="P119" s="2">
        <f t="shared" si="16"/>
        <v>3808.1012658227746</v>
      </c>
    </row>
    <row r="120" spans="5:16" ht="15.75">
      <c r="E120" s="2">
        <f t="shared" si="11"/>
      </c>
      <c r="F120" s="2">
        <f>Data!A165</f>
      </c>
      <c r="G120" s="2">
        <f>IF(Data!B165&lt;&gt;" ",Data!B165," ")</f>
        <v>0</v>
      </c>
      <c r="H120" s="2">
        <f>IF(Data!C165=1,0.05,-1)</f>
        <v>-1</v>
      </c>
      <c r="I120" s="2">
        <f t="shared" si="12"/>
        <v>0</v>
      </c>
      <c r="J120" s="2">
        <f t="shared" si="18"/>
        <v>0</v>
      </c>
      <c r="K120" s="2">
        <f t="shared" si="19"/>
        <v>0</v>
      </c>
      <c r="L120" s="2">
        <f t="shared" si="13"/>
        <v>1.0113402687304711</v>
      </c>
      <c r="M120" s="2">
        <f t="shared" si="14"/>
        <v>0.7355908289241623</v>
      </c>
      <c r="N120" s="2">
        <f t="shared" si="15"/>
        <v>0.9550822784810126</v>
      </c>
      <c r="O120" s="2" t="str">
        <f t="shared" si="17"/>
        <v> </v>
      </c>
      <c r="P120" s="2">
        <f t="shared" si="16"/>
        <v>3841.2151898734073</v>
      </c>
    </row>
    <row r="121" spans="5:16" ht="15.75">
      <c r="E121" s="2">
        <f t="shared" si="11"/>
      </c>
      <c r="F121" s="2">
        <f>Data!A166</f>
      </c>
      <c r="G121" s="2">
        <f>IF(Data!B166&lt;&gt;" ",Data!B166," ")</f>
        <v>0</v>
      </c>
      <c r="H121" s="2">
        <f>IF(Data!C166=1,0.05,-1)</f>
        <v>-1</v>
      </c>
      <c r="I121" s="2">
        <f t="shared" si="12"/>
        <v>0</v>
      </c>
      <c r="J121" s="2">
        <f t="shared" si="18"/>
        <v>0</v>
      </c>
      <c r="K121" s="2">
        <f t="shared" si="19"/>
        <v>0</v>
      </c>
      <c r="L121" s="2">
        <f t="shared" si="13"/>
        <v>1.0113402687304711</v>
      </c>
      <c r="M121" s="2">
        <f t="shared" si="14"/>
        <v>0.7355908289241623</v>
      </c>
      <c r="N121" s="2">
        <f t="shared" si="15"/>
        <v>0.9550822784810126</v>
      </c>
      <c r="O121" s="2" t="str">
        <f t="shared" si="17"/>
        <v> </v>
      </c>
      <c r="P121" s="2">
        <f t="shared" si="16"/>
        <v>3874.32911392404</v>
      </c>
    </row>
    <row r="122" spans="5:16" ht="15.75">
      <c r="E122" s="2">
        <f t="shared" si="11"/>
      </c>
      <c r="F122" s="2">
        <f>Data!A167</f>
      </c>
      <c r="G122" s="2">
        <f>IF(Data!B167&lt;&gt;" ",Data!B167," ")</f>
        <v>0</v>
      </c>
      <c r="H122" s="2">
        <f>IF(Data!C167=1,0.05,-1)</f>
        <v>-1</v>
      </c>
      <c r="I122" s="2">
        <f t="shared" si="12"/>
        <v>0</v>
      </c>
      <c r="J122" s="2">
        <f t="shared" si="18"/>
        <v>0</v>
      </c>
      <c r="K122" s="2">
        <f t="shared" si="19"/>
        <v>0</v>
      </c>
      <c r="L122" s="2">
        <f t="shared" si="13"/>
        <v>1.0113402687304711</v>
      </c>
      <c r="M122" s="2">
        <f t="shared" si="14"/>
        <v>0.7355908289241623</v>
      </c>
      <c r="N122" s="2">
        <f t="shared" si="15"/>
        <v>0.9550822784810126</v>
      </c>
      <c r="O122" s="2" t="str">
        <f t="shared" si="17"/>
        <v> </v>
      </c>
      <c r="P122" s="2">
        <f t="shared" si="16"/>
        <v>3907.4430379746727</v>
      </c>
    </row>
    <row r="123" spans="5:16" ht="15.75">
      <c r="E123" s="2">
        <f t="shared" si="11"/>
      </c>
      <c r="F123" s="2">
        <f>Data!A168</f>
      </c>
      <c r="G123" s="2">
        <f>IF(Data!B168&lt;&gt;" ",Data!B168," ")</f>
        <v>0</v>
      </c>
      <c r="H123" s="2">
        <f>IF(Data!C168=1,0.05,-1)</f>
        <v>-1</v>
      </c>
      <c r="I123" s="2">
        <f t="shared" si="12"/>
        <v>0</v>
      </c>
      <c r="J123" s="2">
        <f t="shared" si="18"/>
        <v>0</v>
      </c>
      <c r="K123" s="2">
        <f t="shared" si="19"/>
        <v>0</v>
      </c>
      <c r="L123" s="2">
        <f t="shared" si="13"/>
        <v>1.0113402687304711</v>
      </c>
      <c r="M123" s="2">
        <f t="shared" si="14"/>
        <v>0.7355908289241623</v>
      </c>
      <c r="N123" s="2">
        <f t="shared" si="15"/>
        <v>0.9550822784810126</v>
      </c>
      <c r="O123" s="2" t="str">
        <f t="shared" si="17"/>
        <v> </v>
      </c>
      <c r="P123" s="2">
        <f t="shared" si="16"/>
        <v>3940.5569620253054</v>
      </c>
    </row>
    <row r="124" spans="5:16" ht="15.75">
      <c r="E124" s="2">
        <f t="shared" si="11"/>
      </c>
      <c r="F124" s="2">
        <f>Data!A169</f>
      </c>
      <c r="G124" s="2">
        <f>IF(Data!B169&lt;&gt;" ",Data!B169," ")</f>
        <v>0</v>
      </c>
      <c r="H124" s="2">
        <f>IF(Data!C169=1,0.05,-1)</f>
        <v>-1</v>
      </c>
      <c r="I124" s="2">
        <f t="shared" si="12"/>
        <v>0</v>
      </c>
      <c r="J124" s="2">
        <f t="shared" si="18"/>
        <v>0</v>
      </c>
      <c r="K124" s="2">
        <f t="shared" si="19"/>
        <v>0</v>
      </c>
      <c r="L124" s="2">
        <f t="shared" si="13"/>
        <v>1.0113402687304711</v>
      </c>
      <c r="M124" s="2">
        <f t="shared" si="14"/>
        <v>0.7355908289241623</v>
      </c>
      <c r="N124" s="2">
        <f t="shared" si="15"/>
        <v>0.9550822784810126</v>
      </c>
      <c r="O124" s="2" t="str">
        <f t="shared" si="17"/>
        <v> </v>
      </c>
      <c r="P124" s="2">
        <f t="shared" si="16"/>
        <v>3973.670886075938</v>
      </c>
    </row>
    <row r="125" spans="5:16" ht="15.75">
      <c r="E125" s="2">
        <f t="shared" si="11"/>
      </c>
      <c r="F125" s="2">
        <f>Data!A170</f>
      </c>
      <c r="G125" s="2">
        <f>IF(Data!B170&lt;&gt;" ",Data!B170," ")</f>
        <v>0</v>
      </c>
      <c r="H125" s="2">
        <f>IF(Data!C170=1,0.05,-1)</f>
        <v>-1</v>
      </c>
      <c r="I125" s="2">
        <f t="shared" si="12"/>
        <v>0</v>
      </c>
      <c r="J125" s="2">
        <f t="shared" si="18"/>
        <v>0</v>
      </c>
      <c r="K125" s="2">
        <f t="shared" si="19"/>
        <v>0</v>
      </c>
      <c r="L125" s="2">
        <f t="shared" si="13"/>
        <v>1.0113402687304711</v>
      </c>
      <c r="M125" s="2">
        <f t="shared" si="14"/>
        <v>0.7355908289241623</v>
      </c>
      <c r="N125" s="2">
        <f t="shared" si="15"/>
        <v>0.9550822784810126</v>
      </c>
      <c r="O125" s="2" t="str">
        <f t="shared" si="17"/>
        <v> </v>
      </c>
      <c r="P125" s="2">
        <f t="shared" si="16"/>
        <v>4006.784810126571</v>
      </c>
    </row>
    <row r="126" spans="5:16" ht="15.75">
      <c r="E126" s="2">
        <f t="shared" si="11"/>
      </c>
      <c r="F126" s="2">
        <f>Data!A171</f>
      </c>
      <c r="G126" s="2">
        <f>IF(Data!B171&lt;&gt;" ",Data!B171," ")</f>
        <v>0</v>
      </c>
      <c r="H126" s="2">
        <f>IF(Data!C171=1,0.05,-1)</f>
        <v>-1</v>
      </c>
      <c r="I126" s="2">
        <f t="shared" si="12"/>
        <v>0</v>
      </c>
      <c r="J126" s="2">
        <f t="shared" si="18"/>
        <v>0</v>
      </c>
      <c r="K126" s="2">
        <f t="shared" si="19"/>
        <v>0</v>
      </c>
      <c r="L126" s="2">
        <f t="shared" si="13"/>
        <v>1.0113402687304711</v>
      </c>
      <c r="M126" s="2">
        <f t="shared" si="14"/>
        <v>0.7355908289241623</v>
      </c>
      <c r="N126" s="2">
        <f t="shared" si="15"/>
        <v>0.9550822784810126</v>
      </c>
      <c r="O126" s="2" t="str">
        <f t="shared" si="17"/>
        <v> </v>
      </c>
      <c r="P126" s="2">
        <f t="shared" si="16"/>
        <v>4039.8987341772036</v>
      </c>
    </row>
    <row r="127" spans="5:16" ht="15.75">
      <c r="E127" s="2">
        <f t="shared" si="11"/>
      </c>
      <c r="F127" s="2">
        <f>Data!A172</f>
      </c>
      <c r="G127" s="2">
        <f>IF(Data!B172&lt;&gt;" ",Data!B172," ")</f>
        <v>0</v>
      </c>
      <c r="H127" s="2">
        <f>IF(Data!C172=1,0.05,-1)</f>
        <v>-1</v>
      </c>
      <c r="I127" s="2">
        <f t="shared" si="12"/>
        <v>0</v>
      </c>
      <c r="J127" s="2">
        <f t="shared" si="18"/>
        <v>0</v>
      </c>
      <c r="K127" s="2">
        <f t="shared" si="19"/>
        <v>0</v>
      </c>
      <c r="L127" s="2">
        <f t="shared" si="13"/>
        <v>1.0113402687304711</v>
      </c>
      <c r="M127" s="2">
        <f t="shared" si="14"/>
        <v>0.7355908289241623</v>
      </c>
      <c r="N127" s="2">
        <f t="shared" si="15"/>
        <v>0.9550822784810126</v>
      </c>
      <c r="O127" s="2" t="str">
        <f t="shared" si="17"/>
        <v> </v>
      </c>
      <c r="P127" s="2">
        <f t="shared" si="16"/>
        <v>4073.0126582278363</v>
      </c>
    </row>
    <row r="128" spans="5:16" ht="15.75">
      <c r="E128" s="2">
        <f t="shared" si="11"/>
      </c>
      <c r="F128" s="2">
        <f>Data!A173</f>
      </c>
      <c r="G128" s="2">
        <f>IF(Data!B173&lt;&gt;" ",Data!B173," ")</f>
        <v>0</v>
      </c>
      <c r="H128" s="2">
        <f>IF(Data!C173=1,0.05,-1)</f>
        <v>-1</v>
      </c>
      <c r="I128" s="2">
        <f t="shared" si="12"/>
        <v>0</v>
      </c>
      <c r="J128" s="2">
        <f t="shared" si="18"/>
        <v>0</v>
      </c>
      <c r="K128" s="2">
        <f t="shared" si="19"/>
        <v>0</v>
      </c>
      <c r="L128" s="2">
        <f t="shared" si="13"/>
        <v>1.0113402687304711</v>
      </c>
      <c r="M128" s="2">
        <f t="shared" si="14"/>
        <v>0.7355908289241623</v>
      </c>
      <c r="N128" s="2">
        <f t="shared" si="15"/>
        <v>0.9550822784810126</v>
      </c>
      <c r="O128" s="2" t="str">
        <f t="shared" si="17"/>
        <v> </v>
      </c>
      <c r="P128" s="2">
        <f t="shared" si="16"/>
        <v>4106.126582278469</v>
      </c>
    </row>
    <row r="129" spans="5:16" ht="15.75">
      <c r="E129" s="2">
        <f t="shared" si="11"/>
      </c>
      <c r="F129" s="2">
        <f>Data!A174</f>
      </c>
      <c r="G129" s="2">
        <f>IF(Data!B174&lt;&gt;" ",Data!B174," ")</f>
        <v>0</v>
      </c>
      <c r="H129" s="2">
        <f>IF(Data!C174=1,0.05,-1)</f>
        <v>-1</v>
      </c>
      <c r="I129" s="2">
        <f t="shared" si="12"/>
        <v>0</v>
      </c>
      <c r="J129" s="2">
        <f t="shared" si="18"/>
        <v>0</v>
      </c>
      <c r="K129" s="2">
        <f t="shared" si="19"/>
        <v>0</v>
      </c>
      <c r="L129" s="2">
        <f t="shared" si="13"/>
        <v>1.0113402687304711</v>
      </c>
      <c r="M129" s="2">
        <f t="shared" si="14"/>
        <v>0.7355908289241623</v>
      </c>
      <c r="N129" s="2">
        <f t="shared" si="15"/>
        <v>0.9550822784810126</v>
      </c>
      <c r="O129" s="2" t="str">
        <f t="shared" si="17"/>
        <v> </v>
      </c>
      <c r="P129" s="2">
        <f t="shared" si="16"/>
        <v>4139.240506329102</v>
      </c>
    </row>
    <row r="130" spans="5:16" ht="15.75">
      <c r="E130" s="2">
        <f t="shared" si="11"/>
      </c>
      <c r="F130" s="2">
        <f>Data!A175</f>
      </c>
      <c r="G130" s="2">
        <f>IF(Data!B175&lt;&gt;" ",Data!B175," ")</f>
        <v>0</v>
      </c>
      <c r="H130" s="2">
        <f>IF(Data!C175=1,0.05,-1)</f>
        <v>-1</v>
      </c>
      <c r="I130" s="2">
        <f t="shared" si="12"/>
        <v>0</v>
      </c>
      <c r="J130" s="2">
        <f t="shared" si="18"/>
        <v>0</v>
      </c>
      <c r="K130" s="2">
        <f t="shared" si="19"/>
        <v>0</v>
      </c>
      <c r="L130" s="2">
        <f t="shared" si="13"/>
        <v>1.0113402687304711</v>
      </c>
      <c r="M130" s="2">
        <f t="shared" si="14"/>
        <v>0.7355908289241623</v>
      </c>
      <c r="N130" s="2">
        <f t="shared" si="15"/>
        <v>0.9550822784810126</v>
      </c>
      <c r="O130" s="2" t="str">
        <f t="shared" si="17"/>
        <v> </v>
      </c>
      <c r="P130" s="2">
        <f t="shared" si="16"/>
        <v>4172.354430379734</v>
      </c>
    </row>
    <row r="131" spans="5:16" ht="15.75">
      <c r="E131" s="2">
        <f t="shared" si="11"/>
      </c>
      <c r="F131" s="2">
        <f>Data!A176</f>
      </c>
      <c r="G131" s="2">
        <f>IF(Data!B176&lt;&gt;" ",Data!B176," ")</f>
        <v>0</v>
      </c>
      <c r="H131" s="2">
        <f>IF(Data!C176=1,0.05,-1)</f>
        <v>-1</v>
      </c>
      <c r="I131" s="2">
        <f t="shared" si="12"/>
        <v>0</v>
      </c>
      <c r="J131" s="2">
        <f t="shared" si="18"/>
        <v>0</v>
      </c>
      <c r="K131" s="2">
        <f t="shared" si="19"/>
        <v>0</v>
      </c>
      <c r="L131" s="2">
        <f t="shared" si="13"/>
        <v>1.0113402687304711</v>
      </c>
      <c r="M131" s="2">
        <f t="shared" si="14"/>
        <v>0.7355908289241623</v>
      </c>
      <c r="N131" s="2">
        <f t="shared" si="15"/>
        <v>0.9550822784810126</v>
      </c>
      <c r="O131" s="2" t="str">
        <f t="shared" si="17"/>
        <v> </v>
      </c>
      <c r="P131" s="2">
        <f t="shared" si="16"/>
        <v>4205.468354430367</v>
      </c>
    </row>
    <row r="132" spans="5:16" ht="15.75">
      <c r="E132" s="2">
        <f t="shared" si="11"/>
      </c>
      <c r="F132" s="2">
        <f>Data!A177</f>
      </c>
      <c r="G132" s="2">
        <f>IF(Data!B177&lt;&gt;" ",Data!B177," ")</f>
        <v>0</v>
      </c>
      <c r="H132" s="2">
        <f>IF(Data!C177=1,0.05,-1)</f>
        <v>-1</v>
      </c>
      <c r="I132" s="2">
        <f t="shared" si="12"/>
        <v>0</v>
      </c>
      <c r="J132" s="2">
        <f t="shared" si="18"/>
        <v>0</v>
      </c>
      <c r="K132" s="2">
        <f t="shared" si="19"/>
        <v>0</v>
      </c>
      <c r="L132" s="2">
        <f t="shared" si="13"/>
        <v>1.0113402687304711</v>
      </c>
      <c r="M132" s="2">
        <f t="shared" si="14"/>
        <v>0.7355908289241623</v>
      </c>
      <c r="N132" s="2">
        <f t="shared" si="15"/>
        <v>0.9550822784810126</v>
      </c>
      <c r="O132" s="2" t="str">
        <f t="shared" si="17"/>
        <v> </v>
      </c>
      <c r="P132" s="2">
        <f t="shared" si="16"/>
        <v>4238.582278481</v>
      </c>
    </row>
    <row r="133" spans="5:16" ht="15.75">
      <c r="E133" s="2">
        <f t="shared" si="11"/>
      </c>
      <c r="F133" s="2">
        <f>Data!A178</f>
      </c>
      <c r="G133" s="2">
        <f>IF(Data!B178&lt;&gt;" ",Data!B178," ")</f>
        <v>0</v>
      </c>
      <c r="H133" s="2">
        <f>IF(Data!C178=1,0.05,-1)</f>
        <v>-1</v>
      </c>
      <c r="I133" s="2">
        <f t="shared" si="12"/>
        <v>0</v>
      </c>
      <c r="J133" s="2">
        <f t="shared" si="18"/>
        <v>0</v>
      </c>
      <c r="K133" s="2">
        <f t="shared" si="19"/>
        <v>0</v>
      </c>
      <c r="L133" s="2">
        <f t="shared" si="13"/>
        <v>1.0113402687304711</v>
      </c>
      <c r="M133" s="2">
        <f t="shared" si="14"/>
        <v>0.7355908289241623</v>
      </c>
      <c r="N133" s="2">
        <f t="shared" si="15"/>
        <v>0.9550822784810126</v>
      </c>
      <c r="O133" s="2" t="str">
        <f t="shared" si="17"/>
        <v> </v>
      </c>
      <c r="P133" s="2">
        <f t="shared" si="16"/>
        <v>4271.6962025316325</v>
      </c>
    </row>
    <row r="134" spans="5:16" ht="15.75">
      <c r="E134" s="2">
        <f aca="true" t="shared" si="20" ref="E134:E155">IF(G134&lt;=$B$45,F134,0)</f>
      </c>
      <c r="F134" s="2">
        <f>Data!A179</f>
      </c>
      <c r="G134" s="2">
        <f>IF(Data!B179&lt;&gt;" ",Data!B179," ")</f>
        <v>0</v>
      </c>
      <c r="H134" s="2">
        <f>IF(Data!C179=1,0.05,-1)</f>
        <v>-1</v>
      </c>
      <c r="I134" s="2">
        <f aca="true" t="shared" si="21" ref="I134:I155">G134/250</f>
        <v>0</v>
      </c>
      <c r="J134" s="2">
        <f t="shared" si="18"/>
        <v>0</v>
      </c>
      <c r="K134" s="2">
        <f t="shared" si="19"/>
        <v>0</v>
      </c>
      <c r="L134" s="2">
        <f aca="true" t="shared" si="22" ref="L134:L155">$B$16</f>
        <v>1.0113402687304711</v>
      </c>
      <c r="M134" s="2">
        <f aca="true" t="shared" si="23" ref="M134:M155">$B$22</f>
        <v>0.7355908289241623</v>
      </c>
      <c r="N134" s="2">
        <f aca="true" t="shared" si="24" ref="N134:N155">$B$19</f>
        <v>0.9550822784810126</v>
      </c>
      <c r="O134" s="2" t="str">
        <f t="shared" si="17"/>
        <v> </v>
      </c>
      <c r="P134" s="2">
        <f t="shared" si="16"/>
        <v>4304.810126582265</v>
      </c>
    </row>
    <row r="135" spans="5:16" ht="15.75">
      <c r="E135" s="2">
        <f t="shared" si="20"/>
      </c>
      <c r="F135" s="2">
        <f>Data!A180</f>
      </c>
      <c r="G135" s="2">
        <f>IF(Data!B180&lt;&gt;" ",Data!B180," ")</f>
        <v>0</v>
      </c>
      <c r="H135" s="2">
        <f>IF(Data!C180=1,0.05,-1)</f>
        <v>-1</v>
      </c>
      <c r="I135" s="2">
        <f t="shared" si="21"/>
        <v>0</v>
      </c>
      <c r="J135" s="2">
        <f t="shared" si="18"/>
        <v>0</v>
      </c>
      <c r="K135" s="2">
        <f t="shared" si="19"/>
        <v>0</v>
      </c>
      <c r="L135" s="2">
        <f t="shared" si="22"/>
        <v>1.0113402687304711</v>
      </c>
      <c r="M135" s="2">
        <f t="shared" si="23"/>
        <v>0.7355908289241623</v>
      </c>
      <c r="N135" s="2">
        <f t="shared" si="24"/>
        <v>0.9550822784810126</v>
      </c>
      <c r="O135" s="2" t="str">
        <f t="shared" si="17"/>
        <v> </v>
      </c>
      <c r="P135" s="2">
        <f aca="true" t="shared" si="25" ref="P135:P155">P134+$P$5</f>
        <v>4337.924050632898</v>
      </c>
    </row>
    <row r="136" spans="5:16" ht="15.75">
      <c r="E136" s="2">
        <f t="shared" si="20"/>
      </c>
      <c r="F136" s="2">
        <f>Data!A181</f>
      </c>
      <c r="G136" s="2">
        <f>IF(Data!B181&lt;&gt;" ",Data!B181," ")</f>
        <v>0</v>
      </c>
      <c r="H136" s="2">
        <f>IF(Data!C181=1,0.05,-1)</f>
        <v>-1</v>
      </c>
      <c r="I136" s="2">
        <f t="shared" si="21"/>
        <v>0</v>
      </c>
      <c r="J136" s="2">
        <f t="shared" si="18"/>
        <v>0</v>
      </c>
      <c r="K136" s="2">
        <f t="shared" si="19"/>
        <v>0</v>
      </c>
      <c r="L136" s="2">
        <f t="shared" si="22"/>
        <v>1.0113402687304711</v>
      </c>
      <c r="M136" s="2">
        <f t="shared" si="23"/>
        <v>0.7355908289241623</v>
      </c>
      <c r="N136" s="2">
        <f t="shared" si="24"/>
        <v>0.9550822784810126</v>
      </c>
      <c r="O136" s="2" t="str">
        <f t="shared" si="17"/>
        <v> </v>
      </c>
      <c r="P136" s="2">
        <f t="shared" si="25"/>
        <v>4371.037974683531</v>
      </c>
    </row>
    <row r="137" spans="5:16" ht="15.75">
      <c r="E137" s="2">
        <f t="shared" si="20"/>
      </c>
      <c r="F137" s="2">
        <f>Data!A182</f>
      </c>
      <c r="G137" s="2">
        <f>IF(Data!B182&lt;&gt;" ",Data!B182," ")</f>
        <v>0</v>
      </c>
      <c r="H137" s="2">
        <f>IF(Data!C182=1,0.05,-1)</f>
        <v>-1</v>
      </c>
      <c r="I137" s="2">
        <f t="shared" si="21"/>
        <v>0</v>
      </c>
      <c r="J137" s="2">
        <f t="shared" si="18"/>
        <v>0</v>
      </c>
      <c r="K137" s="2">
        <f t="shared" si="19"/>
        <v>0</v>
      </c>
      <c r="L137" s="2">
        <f t="shared" si="22"/>
        <v>1.0113402687304711</v>
      </c>
      <c r="M137" s="2">
        <f t="shared" si="23"/>
        <v>0.7355908289241623</v>
      </c>
      <c r="N137" s="2">
        <f t="shared" si="24"/>
        <v>0.9550822784810126</v>
      </c>
      <c r="O137" s="2" t="str">
        <f t="shared" si="17"/>
        <v> </v>
      </c>
      <c r="P137" s="2">
        <f t="shared" si="25"/>
        <v>4404.151898734163</v>
      </c>
    </row>
    <row r="138" spans="5:16" ht="15.75">
      <c r="E138" s="2">
        <f t="shared" si="20"/>
      </c>
      <c r="F138" s="2">
        <f>Data!A183</f>
      </c>
      <c r="G138" s="2">
        <f>IF(Data!B183&lt;&gt;" ",Data!B183," ")</f>
        <v>0</v>
      </c>
      <c r="H138" s="2">
        <f>IF(Data!C183=1,0.05,-1)</f>
        <v>-1</v>
      </c>
      <c r="I138" s="2">
        <f t="shared" si="21"/>
        <v>0</v>
      </c>
      <c r="J138" s="2">
        <f t="shared" si="18"/>
        <v>0</v>
      </c>
      <c r="K138" s="2">
        <f t="shared" si="19"/>
        <v>0</v>
      </c>
      <c r="L138" s="2">
        <f t="shared" si="22"/>
        <v>1.0113402687304711</v>
      </c>
      <c r="M138" s="2">
        <f t="shared" si="23"/>
        <v>0.7355908289241623</v>
      </c>
      <c r="N138" s="2">
        <f t="shared" si="24"/>
        <v>0.9550822784810126</v>
      </c>
      <c r="O138" s="2" t="str">
        <f aca="true" t="shared" si="26" ref="O138:O155">IF(AND(I134&gt;0,I143&gt;0),AVERAGE(I134:I143)," ")</f>
        <v> </v>
      </c>
      <c r="P138" s="2">
        <f t="shared" si="25"/>
        <v>4437.265822784796</v>
      </c>
    </row>
    <row r="139" spans="5:16" ht="15.75">
      <c r="E139" s="2">
        <f t="shared" si="20"/>
      </c>
      <c r="F139" s="2">
        <f>Data!A184</f>
      </c>
      <c r="G139" s="2">
        <f>IF(Data!B184&lt;&gt;" ",Data!B184," ")</f>
        <v>0</v>
      </c>
      <c r="H139" s="2">
        <f>IF(Data!C184=1,0.05,-1)</f>
        <v>-1</v>
      </c>
      <c r="I139" s="2">
        <f t="shared" si="21"/>
        <v>0</v>
      </c>
      <c r="J139" s="2">
        <f t="shared" si="18"/>
        <v>0</v>
      </c>
      <c r="K139" s="2">
        <f t="shared" si="19"/>
        <v>0</v>
      </c>
      <c r="L139" s="2">
        <f t="shared" si="22"/>
        <v>1.0113402687304711</v>
      </c>
      <c r="M139" s="2">
        <f t="shared" si="23"/>
        <v>0.7355908289241623</v>
      </c>
      <c r="N139" s="2">
        <f t="shared" si="24"/>
        <v>0.9550822784810126</v>
      </c>
      <c r="O139" s="2" t="str">
        <f t="shared" si="26"/>
        <v> </v>
      </c>
      <c r="P139" s="2">
        <f t="shared" si="25"/>
        <v>4470.379746835429</v>
      </c>
    </row>
    <row r="140" spans="5:16" ht="15.75">
      <c r="E140" s="2">
        <f t="shared" si="20"/>
      </c>
      <c r="F140" s="2">
        <f>Data!A185</f>
      </c>
      <c r="G140" s="2">
        <f>IF(Data!B185&lt;&gt;" ",Data!B185," ")</f>
        <v>0</v>
      </c>
      <c r="H140" s="2">
        <f>IF(Data!C185=1,0.05,-1)</f>
        <v>-1</v>
      </c>
      <c r="I140" s="2">
        <f t="shared" si="21"/>
        <v>0</v>
      </c>
      <c r="J140" s="2">
        <f t="shared" si="18"/>
        <v>0</v>
      </c>
      <c r="K140" s="2">
        <f t="shared" si="19"/>
        <v>0</v>
      </c>
      <c r="L140" s="2">
        <f t="shared" si="22"/>
        <v>1.0113402687304711</v>
      </c>
      <c r="M140" s="2">
        <f t="shared" si="23"/>
        <v>0.7355908289241623</v>
      </c>
      <c r="N140" s="2">
        <f t="shared" si="24"/>
        <v>0.9550822784810126</v>
      </c>
      <c r="O140" s="2" t="str">
        <f t="shared" si="26"/>
        <v> </v>
      </c>
      <c r="P140" s="2">
        <f t="shared" si="25"/>
        <v>4503.493670886061</v>
      </c>
    </row>
    <row r="141" spans="5:16" ht="15.75">
      <c r="E141" s="2">
        <f t="shared" si="20"/>
      </c>
      <c r="F141" s="2">
        <f>Data!A186</f>
      </c>
      <c r="G141" s="2">
        <f>IF(Data!B186&lt;&gt;" ",Data!B186," ")</f>
        <v>0</v>
      </c>
      <c r="H141" s="2">
        <f>IF(Data!C186=1,0.05,-1)</f>
        <v>-1</v>
      </c>
      <c r="I141" s="2">
        <f t="shared" si="21"/>
        <v>0</v>
      </c>
      <c r="J141" s="2">
        <f t="shared" si="18"/>
        <v>0</v>
      </c>
      <c r="K141" s="2">
        <f t="shared" si="19"/>
        <v>0</v>
      </c>
      <c r="L141" s="2">
        <f t="shared" si="22"/>
        <v>1.0113402687304711</v>
      </c>
      <c r="M141" s="2">
        <f t="shared" si="23"/>
        <v>0.7355908289241623</v>
      </c>
      <c r="N141" s="2">
        <f t="shared" si="24"/>
        <v>0.9550822784810126</v>
      </c>
      <c r="O141" s="2" t="str">
        <f t="shared" si="26"/>
        <v> </v>
      </c>
      <c r="P141" s="2">
        <f t="shared" si="25"/>
        <v>4536.607594936694</v>
      </c>
    </row>
    <row r="142" spans="5:16" ht="15.75">
      <c r="E142" s="2">
        <f t="shared" si="20"/>
      </c>
      <c r="F142" s="2">
        <f>Data!A187</f>
      </c>
      <c r="G142" s="2">
        <f>IF(Data!B187&lt;&gt;" ",Data!B187," ")</f>
        <v>0</v>
      </c>
      <c r="H142" s="2">
        <f>IF(Data!C187=1,0.05,-1)</f>
        <v>-1</v>
      </c>
      <c r="I142" s="2">
        <f t="shared" si="21"/>
        <v>0</v>
      </c>
      <c r="J142" s="2">
        <f t="shared" si="18"/>
        <v>0</v>
      </c>
      <c r="K142" s="2">
        <f t="shared" si="19"/>
        <v>0</v>
      </c>
      <c r="L142" s="2">
        <f t="shared" si="22"/>
        <v>1.0113402687304711</v>
      </c>
      <c r="M142" s="2">
        <f t="shared" si="23"/>
        <v>0.7355908289241623</v>
      </c>
      <c r="N142" s="2">
        <f t="shared" si="24"/>
        <v>0.9550822784810126</v>
      </c>
      <c r="O142" s="2" t="str">
        <f t="shared" si="26"/>
        <v> </v>
      </c>
      <c r="P142" s="2">
        <f t="shared" si="25"/>
        <v>4569.721518987327</v>
      </c>
    </row>
    <row r="143" spans="5:16" ht="15.75">
      <c r="E143" s="2">
        <f t="shared" si="20"/>
      </c>
      <c r="F143" s="2">
        <f>Data!A188</f>
      </c>
      <c r="G143" s="2">
        <f>IF(Data!B188&lt;&gt;" ",Data!B188," ")</f>
        <v>0</v>
      </c>
      <c r="H143" s="2">
        <f>IF(Data!C188=1,0.05,-1)</f>
        <v>-1</v>
      </c>
      <c r="I143" s="2">
        <f t="shared" si="21"/>
        <v>0</v>
      </c>
      <c r="J143" s="2">
        <f t="shared" si="18"/>
        <v>0</v>
      </c>
      <c r="K143" s="2">
        <f t="shared" si="19"/>
        <v>0</v>
      </c>
      <c r="L143" s="2">
        <f t="shared" si="22"/>
        <v>1.0113402687304711</v>
      </c>
      <c r="M143" s="2">
        <f t="shared" si="23"/>
        <v>0.7355908289241623</v>
      </c>
      <c r="N143" s="2">
        <f t="shared" si="24"/>
        <v>0.9550822784810126</v>
      </c>
      <c r="O143" s="2" t="str">
        <f t="shared" si="26"/>
        <v> </v>
      </c>
      <c r="P143" s="2">
        <f t="shared" si="25"/>
        <v>4602.8354430379595</v>
      </c>
    </row>
    <row r="144" spans="5:16" ht="15.75">
      <c r="E144" s="2">
        <f t="shared" si="20"/>
      </c>
      <c r="F144" s="2">
        <f>Data!A189</f>
      </c>
      <c r="G144" s="2">
        <f>IF(Data!B189&lt;&gt;" ",Data!B189," ")</f>
        <v>0</v>
      </c>
      <c r="H144" s="2">
        <f>IF(Data!C189=1,0.05,-1)</f>
        <v>-1</v>
      </c>
      <c r="I144" s="2">
        <f t="shared" si="21"/>
        <v>0</v>
      </c>
      <c r="J144" s="2">
        <f t="shared" si="18"/>
        <v>0</v>
      </c>
      <c r="K144" s="2">
        <f t="shared" si="19"/>
        <v>0</v>
      </c>
      <c r="L144" s="2">
        <f t="shared" si="22"/>
        <v>1.0113402687304711</v>
      </c>
      <c r="M144" s="2">
        <f t="shared" si="23"/>
        <v>0.7355908289241623</v>
      </c>
      <c r="N144" s="2">
        <f t="shared" si="24"/>
        <v>0.9550822784810126</v>
      </c>
      <c r="O144" s="2" t="str">
        <f t="shared" si="26"/>
        <v> </v>
      </c>
      <c r="P144" s="2">
        <f t="shared" si="25"/>
        <v>4635.949367088592</v>
      </c>
    </row>
    <row r="145" spans="5:16" ht="15.75">
      <c r="E145" s="2">
        <f t="shared" si="20"/>
      </c>
      <c r="F145" s="2">
        <f>Data!A190</f>
      </c>
      <c r="G145" s="2">
        <f>IF(Data!B190&lt;&gt;" ",Data!B190," ")</f>
        <v>0</v>
      </c>
      <c r="H145" s="2">
        <f>IF(Data!C190=1,0.05,-1)</f>
        <v>-1</v>
      </c>
      <c r="I145" s="2">
        <f t="shared" si="21"/>
        <v>0</v>
      </c>
      <c r="J145" s="2">
        <f t="shared" si="18"/>
        <v>0</v>
      </c>
      <c r="K145" s="2">
        <f t="shared" si="19"/>
        <v>0</v>
      </c>
      <c r="L145" s="2">
        <f t="shared" si="22"/>
        <v>1.0113402687304711</v>
      </c>
      <c r="M145" s="2">
        <f t="shared" si="23"/>
        <v>0.7355908289241623</v>
      </c>
      <c r="N145" s="2">
        <f t="shared" si="24"/>
        <v>0.9550822784810126</v>
      </c>
      <c r="O145" s="2" t="str">
        <f t="shared" si="26"/>
        <v> </v>
      </c>
      <c r="P145" s="2">
        <f t="shared" si="25"/>
        <v>4669.063291139225</v>
      </c>
    </row>
    <row r="146" spans="5:16" ht="15.75">
      <c r="E146" s="2">
        <f t="shared" si="20"/>
      </c>
      <c r="F146" s="2">
        <f>Data!A191</f>
      </c>
      <c r="G146" s="2">
        <f>IF(Data!B191&lt;&gt;" ",Data!B191," ")</f>
        <v>0</v>
      </c>
      <c r="H146" s="2">
        <f>IF(Data!C191=1,0.05,-1)</f>
        <v>-1</v>
      </c>
      <c r="I146" s="2">
        <f t="shared" si="21"/>
        <v>0</v>
      </c>
      <c r="J146" s="2">
        <f t="shared" si="18"/>
        <v>0</v>
      </c>
      <c r="K146" s="2">
        <f t="shared" si="19"/>
        <v>0</v>
      </c>
      <c r="L146" s="2">
        <f t="shared" si="22"/>
        <v>1.0113402687304711</v>
      </c>
      <c r="M146" s="2">
        <f t="shared" si="23"/>
        <v>0.7355908289241623</v>
      </c>
      <c r="N146" s="2">
        <f t="shared" si="24"/>
        <v>0.9550822784810126</v>
      </c>
      <c r="O146" s="2" t="str">
        <f t="shared" si="26"/>
        <v> </v>
      </c>
      <c r="P146" s="2">
        <f t="shared" si="25"/>
        <v>4702.177215189858</v>
      </c>
    </row>
    <row r="147" spans="5:16" ht="15.75">
      <c r="E147" s="2">
        <f t="shared" si="20"/>
      </c>
      <c r="F147" s="2">
        <f>Data!A192</f>
      </c>
      <c r="G147" s="2">
        <f>IF(Data!B192&lt;&gt;" ",Data!B192," ")</f>
        <v>0</v>
      </c>
      <c r="H147" s="2">
        <f>IF(Data!C192=1,0.05,-1)</f>
        <v>-1</v>
      </c>
      <c r="I147" s="2">
        <f t="shared" si="21"/>
        <v>0</v>
      </c>
      <c r="J147" s="2">
        <f t="shared" si="18"/>
        <v>0</v>
      </c>
      <c r="K147" s="2">
        <f t="shared" si="19"/>
        <v>0</v>
      </c>
      <c r="L147" s="2">
        <f t="shared" si="22"/>
        <v>1.0113402687304711</v>
      </c>
      <c r="M147" s="2">
        <f t="shared" si="23"/>
        <v>0.7355908289241623</v>
      </c>
      <c r="N147" s="2">
        <f t="shared" si="24"/>
        <v>0.9550822784810126</v>
      </c>
      <c r="O147" s="2" t="str">
        <f t="shared" si="26"/>
        <v> </v>
      </c>
      <c r="P147" s="2">
        <f t="shared" si="25"/>
        <v>4735.29113924049</v>
      </c>
    </row>
    <row r="148" spans="5:16" ht="15.75">
      <c r="E148" s="2">
        <f t="shared" si="20"/>
      </c>
      <c r="F148" s="2">
        <f>Data!A193</f>
      </c>
      <c r="G148" s="2">
        <f>IF(Data!B193&lt;&gt;" ",Data!B193," ")</f>
        <v>0</v>
      </c>
      <c r="H148" s="2">
        <f>IF(Data!C193=1,0.05,-1)</f>
        <v>-1</v>
      </c>
      <c r="I148" s="2">
        <f t="shared" si="21"/>
        <v>0</v>
      </c>
      <c r="J148" s="2">
        <f t="shared" si="18"/>
        <v>0</v>
      </c>
      <c r="K148" s="2">
        <f t="shared" si="19"/>
        <v>0</v>
      </c>
      <c r="L148" s="2">
        <f t="shared" si="22"/>
        <v>1.0113402687304711</v>
      </c>
      <c r="M148" s="2">
        <f t="shared" si="23"/>
        <v>0.7355908289241623</v>
      </c>
      <c r="N148" s="2">
        <f t="shared" si="24"/>
        <v>0.9550822784810126</v>
      </c>
      <c r="O148" s="2" t="str">
        <f t="shared" si="26"/>
        <v> </v>
      </c>
      <c r="P148" s="2">
        <f t="shared" si="25"/>
        <v>4768.405063291123</v>
      </c>
    </row>
    <row r="149" spans="5:16" ht="15.75">
      <c r="E149" s="2">
        <f t="shared" si="20"/>
      </c>
      <c r="F149" s="2">
        <f>Data!A194</f>
      </c>
      <c r="G149" s="2">
        <f>IF(Data!B194&lt;&gt;" ",Data!B194," ")</f>
        <v>0</v>
      </c>
      <c r="H149" s="2">
        <f>IF(Data!C194=1,0.05,-1)</f>
        <v>-1</v>
      </c>
      <c r="I149" s="2">
        <f t="shared" si="21"/>
        <v>0</v>
      </c>
      <c r="J149" s="2">
        <f t="shared" si="18"/>
        <v>0</v>
      </c>
      <c r="K149" s="2">
        <f t="shared" si="19"/>
        <v>0</v>
      </c>
      <c r="L149" s="2">
        <f t="shared" si="22"/>
        <v>1.0113402687304711</v>
      </c>
      <c r="M149" s="2">
        <f t="shared" si="23"/>
        <v>0.7355908289241623</v>
      </c>
      <c r="N149" s="2">
        <f t="shared" si="24"/>
        <v>0.9550822784810126</v>
      </c>
      <c r="O149" s="2" t="str">
        <f t="shared" si="26"/>
        <v> </v>
      </c>
      <c r="P149" s="2">
        <f t="shared" si="25"/>
        <v>4801.518987341756</v>
      </c>
    </row>
    <row r="150" spans="5:16" ht="15.75">
      <c r="E150" s="2">
        <f t="shared" si="20"/>
      </c>
      <c r="F150" s="2">
        <f>Data!A195</f>
      </c>
      <c r="G150" s="2">
        <f>IF(Data!B195&lt;&gt;" ",Data!B195," ")</f>
        <v>0</v>
      </c>
      <c r="H150" s="2">
        <f>IF(Data!C195=1,0.05,-1)</f>
        <v>-1</v>
      </c>
      <c r="I150" s="2">
        <f t="shared" si="21"/>
        <v>0</v>
      </c>
      <c r="J150" s="2">
        <f t="shared" si="18"/>
        <v>0</v>
      </c>
      <c r="K150" s="2">
        <f t="shared" si="19"/>
        <v>0</v>
      </c>
      <c r="L150" s="2">
        <f t="shared" si="22"/>
        <v>1.0113402687304711</v>
      </c>
      <c r="M150" s="2">
        <f t="shared" si="23"/>
        <v>0.7355908289241623</v>
      </c>
      <c r="N150" s="2">
        <f t="shared" si="24"/>
        <v>0.9550822784810126</v>
      </c>
      <c r="O150" s="2" t="str">
        <f t="shared" si="26"/>
        <v> </v>
      </c>
      <c r="P150" s="2">
        <f t="shared" si="25"/>
        <v>4834.632911392388</v>
      </c>
    </row>
    <row r="151" spans="5:16" ht="15.75">
      <c r="E151" s="2">
        <f t="shared" si="20"/>
      </c>
      <c r="F151" s="2">
        <f>Data!A196</f>
      </c>
      <c r="G151" s="2">
        <f>IF(Data!B196&lt;&gt;" ",Data!B196," ")</f>
        <v>0</v>
      </c>
      <c r="H151" s="2">
        <f>IF(Data!C196=1,0.05,-1)</f>
        <v>-1</v>
      </c>
      <c r="I151" s="2">
        <f t="shared" si="21"/>
        <v>0</v>
      </c>
      <c r="J151" s="2">
        <f t="shared" si="18"/>
        <v>0</v>
      </c>
      <c r="K151" s="2">
        <f t="shared" si="19"/>
        <v>0</v>
      </c>
      <c r="L151" s="2">
        <f t="shared" si="22"/>
        <v>1.0113402687304711</v>
      </c>
      <c r="M151" s="2">
        <f t="shared" si="23"/>
        <v>0.7355908289241623</v>
      </c>
      <c r="N151" s="2">
        <f t="shared" si="24"/>
        <v>0.9550822784810126</v>
      </c>
      <c r="O151" s="2" t="str">
        <f t="shared" si="26"/>
        <v> </v>
      </c>
      <c r="P151" s="2">
        <f t="shared" si="25"/>
        <v>4867.746835443021</v>
      </c>
    </row>
    <row r="152" spans="5:16" ht="15.75">
      <c r="E152" s="2">
        <f t="shared" si="20"/>
      </c>
      <c r="F152" s="2">
        <f>Data!A197</f>
      </c>
      <c r="G152" s="2">
        <f>IF(Data!B197&lt;&gt;" ",Data!B197," ")</f>
        <v>0</v>
      </c>
      <c r="H152" s="2">
        <f>IF(Data!C197=1,0.05,-1)</f>
        <v>-1</v>
      </c>
      <c r="I152" s="2">
        <f t="shared" si="21"/>
        <v>0</v>
      </c>
      <c r="J152" s="2">
        <f t="shared" si="18"/>
        <v>0</v>
      </c>
      <c r="K152" s="2">
        <f t="shared" si="19"/>
        <v>0</v>
      </c>
      <c r="L152" s="2">
        <f t="shared" si="22"/>
        <v>1.0113402687304711</v>
      </c>
      <c r="M152" s="2">
        <f t="shared" si="23"/>
        <v>0.7355908289241623</v>
      </c>
      <c r="N152" s="2">
        <f t="shared" si="24"/>
        <v>0.9550822784810126</v>
      </c>
      <c r="O152" s="2" t="str">
        <f t="shared" si="26"/>
        <v> </v>
      </c>
      <c r="P152" s="2">
        <f t="shared" si="25"/>
        <v>4900.860759493654</v>
      </c>
    </row>
    <row r="153" spans="5:16" ht="15.75">
      <c r="E153" s="2">
        <f t="shared" si="20"/>
      </c>
      <c r="F153" s="2">
        <f>Data!A198</f>
      </c>
      <c r="G153" s="2">
        <f>IF(Data!B198&lt;&gt;" ",Data!B198," ")</f>
        <v>0</v>
      </c>
      <c r="H153" s="2">
        <f>IF(Data!C198=1,0.05,-1)</f>
        <v>-1</v>
      </c>
      <c r="I153" s="2">
        <f t="shared" si="21"/>
        <v>0</v>
      </c>
      <c r="J153" s="2">
        <f t="shared" si="18"/>
        <v>0</v>
      </c>
      <c r="K153" s="2">
        <f t="shared" si="19"/>
        <v>0</v>
      </c>
      <c r="L153" s="2">
        <f t="shared" si="22"/>
        <v>1.0113402687304711</v>
      </c>
      <c r="M153" s="2">
        <f t="shared" si="23"/>
        <v>0.7355908289241623</v>
      </c>
      <c r="N153" s="2">
        <f t="shared" si="24"/>
        <v>0.9550822784810126</v>
      </c>
      <c r="O153" s="2" t="str">
        <f t="shared" si="26"/>
        <v> </v>
      </c>
      <c r="P153" s="2">
        <f t="shared" si="25"/>
        <v>4933.974683544287</v>
      </c>
    </row>
    <row r="154" spans="5:16" ht="15.75">
      <c r="E154" s="2">
        <f t="shared" si="20"/>
      </c>
      <c r="F154" s="2">
        <f>Data!A199</f>
      </c>
      <c r="G154" s="2">
        <f>IF(Data!B199&lt;&gt;" ",Data!B199," ")</f>
        <v>0</v>
      </c>
      <c r="H154" s="2">
        <f>IF(Data!C199=1,0.05,-1)</f>
        <v>-1</v>
      </c>
      <c r="I154" s="2">
        <f t="shared" si="21"/>
        <v>0</v>
      </c>
      <c r="J154" s="2">
        <f t="shared" si="18"/>
        <v>0</v>
      </c>
      <c r="K154" s="2">
        <f t="shared" si="19"/>
        <v>0</v>
      </c>
      <c r="L154" s="2">
        <f t="shared" si="22"/>
        <v>1.0113402687304711</v>
      </c>
      <c r="M154" s="2">
        <f t="shared" si="23"/>
        <v>0.7355908289241623</v>
      </c>
      <c r="N154" s="2">
        <f t="shared" si="24"/>
        <v>0.9550822784810126</v>
      </c>
      <c r="O154" s="2" t="str">
        <f t="shared" si="26"/>
        <v> </v>
      </c>
      <c r="P154" s="2">
        <f t="shared" si="25"/>
        <v>4967.088607594919</v>
      </c>
    </row>
    <row r="155" spans="5:16" ht="15.75">
      <c r="E155" s="2">
        <f t="shared" si="20"/>
      </c>
      <c r="F155" s="14">
        <f>Data!A200</f>
      </c>
      <c r="G155" s="14">
        <f>IF(Data!B200&lt;&gt;" ",Data!B200," ")</f>
        <v>0</v>
      </c>
      <c r="H155" s="14">
        <f>IF(Data!C200=1,0.05,-1)</f>
        <v>-1</v>
      </c>
      <c r="I155" s="14">
        <f t="shared" si="21"/>
        <v>0</v>
      </c>
      <c r="J155" s="14">
        <f t="shared" si="18"/>
        <v>0</v>
      </c>
      <c r="K155" s="14">
        <f t="shared" si="19"/>
        <v>0</v>
      </c>
      <c r="L155" s="14">
        <f t="shared" si="22"/>
        <v>1.0113402687304711</v>
      </c>
      <c r="M155" s="14">
        <f t="shared" si="23"/>
        <v>0.7355908289241623</v>
      </c>
      <c r="N155" s="14">
        <f t="shared" si="24"/>
        <v>0.9550822784810126</v>
      </c>
      <c r="O155" s="14" t="str">
        <f t="shared" si="26"/>
        <v> </v>
      </c>
      <c r="P155" s="14">
        <f t="shared" si="25"/>
        <v>5000.202531645552</v>
      </c>
    </row>
    <row r="156" spans="5:11" ht="15.75">
      <c r="E156" s="2">
        <f aca="true" t="shared" si="27" ref="E156:K156">SUM(E5:E155)</f>
        <v>567</v>
      </c>
      <c r="F156" s="2">
        <f t="shared" si="27"/>
        <v>3160</v>
      </c>
      <c r="G156" s="2">
        <f t="shared" si="27"/>
        <v>18180</v>
      </c>
      <c r="I156" s="2">
        <f t="shared" si="27"/>
        <v>72.72</v>
      </c>
      <c r="J156" s="2">
        <f t="shared" si="27"/>
        <v>754515</v>
      </c>
      <c r="K156" s="2">
        <f t="shared" si="27"/>
        <v>104270</v>
      </c>
    </row>
    <row r="158" spans="7:9" ht="15.75">
      <c r="G158" s="2" t="s">
        <v>86</v>
      </c>
      <c r="I158" s="2">
        <f>MIN(I5:I83)</f>
        <v>0.34</v>
      </c>
    </row>
    <row r="159" spans="7:9" ht="15.75">
      <c r="G159" s="2" t="s">
        <v>87</v>
      </c>
      <c r="I159" s="2">
        <f>MAX(I5:I155)</f>
        <v>1.72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2:I61"/>
  <sheetViews>
    <sheetView workbookViewId="0" topLeftCell="A1">
      <selection activeCell="A26" sqref="A26"/>
    </sheetView>
  </sheetViews>
  <sheetFormatPr defaultColWidth="9.140625" defaultRowHeight="12.75"/>
  <cols>
    <col min="1" max="16384" width="9.140625" style="2" customWidth="1"/>
  </cols>
  <sheetData>
    <row r="22" ht="18.75">
      <c r="A22" s="1" t="s">
        <v>98</v>
      </c>
    </row>
    <row r="24" spans="1:9" ht="15.75">
      <c r="A24" s="19" t="s">
        <v>99</v>
      </c>
      <c r="B24" s="20"/>
      <c r="C24" s="20"/>
      <c r="D24" s="20"/>
      <c r="E24" s="20"/>
      <c r="F24" s="20"/>
      <c r="G24" s="20"/>
      <c r="H24" s="20"/>
      <c r="I24" s="21"/>
    </row>
    <row r="25" spans="1:9" ht="15.75">
      <c r="A25" s="15" t="s">
        <v>151</v>
      </c>
      <c r="B25" s="22"/>
      <c r="C25" s="22"/>
      <c r="D25" s="22"/>
      <c r="E25" s="22"/>
      <c r="F25" s="22"/>
      <c r="G25" s="22"/>
      <c r="H25" s="22"/>
      <c r="I25" s="16"/>
    </row>
    <row r="26" spans="1:9" ht="15.75">
      <c r="A26" s="15" t="s">
        <v>160</v>
      </c>
      <c r="B26" s="22"/>
      <c r="C26" s="22"/>
      <c r="D26" s="22"/>
      <c r="E26" s="22"/>
      <c r="F26" s="22"/>
      <c r="G26" s="22"/>
      <c r="H26" s="22"/>
      <c r="I26" s="16"/>
    </row>
    <row r="27" spans="1:9" ht="15.75">
      <c r="A27" s="2" t="s">
        <v>164</v>
      </c>
      <c r="B27" s="22"/>
      <c r="C27" s="22"/>
      <c r="D27" s="22"/>
      <c r="E27" s="22"/>
      <c r="F27" s="22"/>
      <c r="G27" s="22"/>
      <c r="H27" s="22"/>
      <c r="I27" s="16"/>
    </row>
    <row r="28" spans="1:9" ht="15.75">
      <c r="A28" s="15" t="s">
        <v>161</v>
      </c>
      <c r="B28" s="22"/>
      <c r="C28" s="22"/>
      <c r="D28" s="22"/>
      <c r="E28" s="22"/>
      <c r="F28" s="22"/>
      <c r="G28" s="22"/>
      <c r="H28" s="22"/>
      <c r="I28" s="16"/>
    </row>
    <row r="29" spans="1:9" ht="15.75">
      <c r="A29" s="15" t="s">
        <v>151</v>
      </c>
      <c r="B29" s="22"/>
      <c r="C29" s="22"/>
      <c r="D29" s="22"/>
      <c r="E29" s="22"/>
      <c r="F29" s="22"/>
      <c r="G29" s="22"/>
      <c r="H29" s="22"/>
      <c r="I29" s="16"/>
    </row>
    <row r="30" spans="1:9" ht="15.75">
      <c r="A30" s="15" t="s">
        <v>151</v>
      </c>
      <c r="B30" s="22"/>
      <c r="C30" s="22"/>
      <c r="D30" s="22"/>
      <c r="E30" s="22"/>
      <c r="F30" s="22"/>
      <c r="G30" s="22"/>
      <c r="H30" s="22"/>
      <c r="I30" s="16"/>
    </row>
    <row r="31" spans="1:9" ht="15.75">
      <c r="A31" s="15" t="s">
        <v>151</v>
      </c>
      <c r="B31" s="22"/>
      <c r="C31" s="22"/>
      <c r="D31" s="22"/>
      <c r="E31" s="22"/>
      <c r="F31" s="22"/>
      <c r="G31" s="22"/>
      <c r="H31" s="22"/>
      <c r="I31" s="16"/>
    </row>
    <row r="32" spans="1:9" ht="15.75">
      <c r="A32" s="15" t="s">
        <v>151</v>
      </c>
      <c r="B32" s="22"/>
      <c r="C32" s="22"/>
      <c r="D32" s="22"/>
      <c r="E32" s="22"/>
      <c r="F32" s="22"/>
      <c r="G32" s="22"/>
      <c r="H32" s="22"/>
      <c r="I32" s="16"/>
    </row>
    <row r="33" spans="1:9" ht="15.75">
      <c r="A33" s="17" t="s">
        <v>151</v>
      </c>
      <c r="B33" s="14"/>
      <c r="C33" s="14"/>
      <c r="D33" s="14"/>
      <c r="E33" s="14"/>
      <c r="F33" s="14"/>
      <c r="G33" s="14"/>
      <c r="H33" s="14"/>
      <c r="I33" s="18"/>
    </row>
    <row r="39" ht="18.75">
      <c r="A39" s="1" t="s">
        <v>97</v>
      </c>
    </row>
    <row r="41" spans="1:9" ht="15.75">
      <c r="A41" s="19" t="s">
        <v>156</v>
      </c>
      <c r="B41" s="20"/>
      <c r="C41" s="20"/>
      <c r="D41" s="20"/>
      <c r="E41" s="20"/>
      <c r="F41" s="20"/>
      <c r="G41" s="20"/>
      <c r="H41" s="20"/>
      <c r="I41" s="21"/>
    </row>
    <row r="42" spans="1:9" ht="15.75">
      <c r="A42" s="15" t="s">
        <v>88</v>
      </c>
      <c r="B42" s="22"/>
      <c r="C42" s="22"/>
      <c r="D42" s="22"/>
      <c r="E42" s="22"/>
      <c r="F42" s="22"/>
      <c r="G42" s="22"/>
      <c r="H42" s="22"/>
      <c r="I42" s="16"/>
    </row>
    <row r="43" spans="1:9" ht="15.75">
      <c r="A43" s="15" t="s">
        <v>151</v>
      </c>
      <c r="B43" s="22"/>
      <c r="C43" s="22"/>
      <c r="D43" s="22"/>
      <c r="E43" s="22"/>
      <c r="F43" s="22"/>
      <c r="G43" s="22"/>
      <c r="H43" s="22"/>
      <c r="I43" s="16"/>
    </row>
    <row r="44" spans="1:9" ht="15.75">
      <c r="A44" s="15" t="s">
        <v>96</v>
      </c>
      <c r="B44" s="22"/>
      <c r="C44" s="22"/>
      <c r="D44" s="22"/>
      <c r="E44" s="22"/>
      <c r="F44" s="22"/>
      <c r="G44" s="22"/>
      <c r="H44" s="22"/>
      <c r="I44" s="16"/>
    </row>
    <row r="45" spans="1:9" ht="15.75">
      <c r="A45" s="15" t="s">
        <v>89</v>
      </c>
      <c r="B45" s="22"/>
      <c r="C45" s="22"/>
      <c r="D45" s="22"/>
      <c r="E45" s="22"/>
      <c r="F45" s="22"/>
      <c r="G45" s="22"/>
      <c r="H45" s="22"/>
      <c r="I45" s="16"/>
    </row>
    <row r="46" spans="1:9" ht="15.75">
      <c r="A46" s="15" t="s">
        <v>151</v>
      </c>
      <c r="B46" s="22"/>
      <c r="C46" s="22"/>
      <c r="D46" s="22"/>
      <c r="E46" s="22"/>
      <c r="F46" s="22"/>
      <c r="G46" s="22"/>
      <c r="H46" s="22"/>
      <c r="I46" s="16"/>
    </row>
    <row r="47" spans="1:9" ht="15.75">
      <c r="A47" s="15" t="s">
        <v>90</v>
      </c>
      <c r="B47" s="22"/>
      <c r="C47" s="22"/>
      <c r="D47" s="22"/>
      <c r="E47" s="22"/>
      <c r="F47" s="22"/>
      <c r="G47" s="22"/>
      <c r="H47" s="22"/>
      <c r="I47" s="16"/>
    </row>
    <row r="48" spans="1:9" ht="15.75">
      <c r="A48" s="15" t="s">
        <v>167</v>
      </c>
      <c r="B48" s="22"/>
      <c r="C48" s="22"/>
      <c r="D48" s="22"/>
      <c r="E48" s="22"/>
      <c r="F48" s="22"/>
      <c r="G48" s="22"/>
      <c r="H48" s="22"/>
      <c r="I48" s="16"/>
    </row>
    <row r="49" spans="1:9" ht="15.75">
      <c r="A49" s="15" t="s">
        <v>151</v>
      </c>
      <c r="B49" s="22"/>
      <c r="C49" s="22"/>
      <c r="D49" s="22"/>
      <c r="E49" s="22"/>
      <c r="F49" s="22"/>
      <c r="G49" s="22"/>
      <c r="H49" s="22"/>
      <c r="I49" s="16"/>
    </row>
    <row r="50" spans="1:9" ht="15.75">
      <c r="A50" s="15" t="s">
        <v>162</v>
      </c>
      <c r="B50" s="22"/>
      <c r="C50" s="22"/>
      <c r="D50" s="22"/>
      <c r="E50" s="22"/>
      <c r="F50" s="22"/>
      <c r="G50" s="22"/>
      <c r="H50" s="22"/>
      <c r="I50" s="16"/>
    </row>
    <row r="51" spans="1:9" ht="15.75">
      <c r="A51" s="15" t="s">
        <v>151</v>
      </c>
      <c r="B51" s="22"/>
      <c r="C51" s="22"/>
      <c r="D51" s="22"/>
      <c r="E51" s="22"/>
      <c r="F51" s="22"/>
      <c r="G51" s="22"/>
      <c r="H51" s="22"/>
      <c r="I51" s="16"/>
    </row>
    <row r="52" spans="1:9" ht="15.75">
      <c r="A52" s="15" t="s">
        <v>91</v>
      </c>
      <c r="B52" s="22"/>
      <c r="C52" s="22"/>
      <c r="D52" s="22"/>
      <c r="E52" s="22"/>
      <c r="F52" s="22"/>
      <c r="G52" s="22"/>
      <c r="H52" s="22"/>
      <c r="I52" s="16"/>
    </row>
    <row r="53" spans="1:9" ht="15.75">
      <c r="A53" s="15" t="s">
        <v>151</v>
      </c>
      <c r="B53" s="22"/>
      <c r="C53" s="22"/>
      <c r="D53" s="22"/>
      <c r="E53" s="22"/>
      <c r="F53" s="22"/>
      <c r="G53" s="22"/>
      <c r="H53" s="22"/>
      <c r="I53" s="16"/>
    </row>
    <row r="54" spans="1:9" ht="15.75">
      <c r="A54" s="15" t="s">
        <v>92</v>
      </c>
      <c r="B54" s="22"/>
      <c r="C54" s="22"/>
      <c r="D54" s="22"/>
      <c r="E54" s="22"/>
      <c r="F54" s="22"/>
      <c r="G54" s="22"/>
      <c r="H54" s="22"/>
      <c r="I54" s="16"/>
    </row>
    <row r="55" spans="1:9" ht="15.75">
      <c r="A55" s="15" t="s">
        <v>93</v>
      </c>
      <c r="B55" s="22"/>
      <c r="C55" s="22"/>
      <c r="D55" s="22"/>
      <c r="E55" s="22"/>
      <c r="F55" s="22"/>
      <c r="G55" s="22"/>
      <c r="H55" s="22"/>
      <c r="I55" s="16"/>
    </row>
    <row r="56" spans="1:9" ht="15.75">
      <c r="A56" s="15" t="s">
        <v>94</v>
      </c>
      <c r="B56" s="22"/>
      <c r="C56" s="22"/>
      <c r="D56" s="22"/>
      <c r="E56" s="22"/>
      <c r="F56" s="22"/>
      <c r="G56" s="22"/>
      <c r="H56" s="22"/>
      <c r="I56" s="16"/>
    </row>
    <row r="57" spans="1:9" ht="15.75">
      <c r="A57" s="15" t="s">
        <v>95</v>
      </c>
      <c r="B57" s="22"/>
      <c r="C57" s="22"/>
      <c r="D57" s="22"/>
      <c r="E57" s="22"/>
      <c r="F57" s="22"/>
      <c r="G57" s="22"/>
      <c r="H57" s="22"/>
      <c r="I57" s="16"/>
    </row>
    <row r="58" spans="1:9" ht="15.75">
      <c r="A58" s="15" t="s">
        <v>151</v>
      </c>
      <c r="B58" s="22"/>
      <c r="C58" s="22"/>
      <c r="D58" s="22"/>
      <c r="E58" s="22"/>
      <c r="F58" s="22"/>
      <c r="G58" s="22"/>
      <c r="H58" s="22"/>
      <c r="I58" s="16"/>
    </row>
    <row r="59" spans="1:9" ht="15.75">
      <c r="A59" s="15"/>
      <c r="B59" s="22"/>
      <c r="C59" s="22"/>
      <c r="D59" s="22"/>
      <c r="E59" s="22"/>
      <c r="F59" s="22"/>
      <c r="G59" s="22"/>
      <c r="H59" s="22"/>
      <c r="I59" s="16"/>
    </row>
    <row r="60" spans="1:9" ht="15.75">
      <c r="A60" s="15"/>
      <c r="B60" s="22"/>
      <c r="C60" s="22"/>
      <c r="D60" s="22"/>
      <c r="E60" s="22"/>
      <c r="F60" s="22"/>
      <c r="G60" s="22"/>
      <c r="H60" s="22"/>
      <c r="I60" s="16"/>
    </row>
    <row r="61" spans="1:9" ht="15.75">
      <c r="A61" s="17"/>
      <c r="B61" s="14"/>
      <c r="C61" s="14"/>
      <c r="D61" s="14"/>
      <c r="E61" s="14"/>
      <c r="F61" s="14"/>
      <c r="G61" s="14"/>
      <c r="H61" s="14"/>
      <c r="I61" s="1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38"/>
  <sheetViews>
    <sheetView tabSelected="1" view="pageBreakPreview" zoomScale="60" zoomScaleNormal="75" workbookViewId="0" topLeftCell="V1">
      <selection activeCell="AS35" sqref="AS35"/>
    </sheetView>
  </sheetViews>
  <sheetFormatPr defaultColWidth="9.140625" defaultRowHeight="12.75"/>
  <cols>
    <col min="1" max="2" width="9.140625" style="2" customWidth="1"/>
    <col min="3" max="3" width="12.421875" style="2" customWidth="1"/>
    <col min="4" max="4" width="11.140625" style="2" bestFit="1" customWidth="1"/>
    <col min="5" max="5" width="9.00390625" style="2" customWidth="1"/>
    <col min="6" max="15" width="9.140625" style="2" customWidth="1"/>
    <col min="16" max="16" width="14.421875" style="2" customWidth="1"/>
    <col min="17" max="17" width="10.140625" style="2" bestFit="1" customWidth="1"/>
    <col min="18" max="18" width="9.57421875" style="2" customWidth="1"/>
    <col min="19" max="29" width="9.140625" style="2" customWidth="1"/>
    <col min="30" max="30" width="10.140625" style="2" customWidth="1"/>
    <col min="31" max="31" width="9.140625" style="2" customWidth="1"/>
    <col min="32" max="32" width="10.8515625" style="2" bestFit="1" customWidth="1"/>
    <col min="33" max="34" width="9.140625" style="2" customWidth="1"/>
    <col min="35" max="35" width="8.00390625" style="2" customWidth="1"/>
    <col min="36" max="36" width="11.8515625" style="2" customWidth="1"/>
    <col min="37" max="44" width="9.140625" style="2" customWidth="1"/>
    <col min="45" max="45" width="14.421875" style="2" customWidth="1"/>
    <col min="46" max="16384" width="9.140625" style="2" customWidth="1"/>
  </cols>
  <sheetData>
    <row r="1" spans="1:37" ht="15.75">
      <c r="A1" s="2" t="s">
        <v>100</v>
      </c>
      <c r="J1" s="2" t="s">
        <v>128</v>
      </c>
      <c r="S1" s="2" t="s">
        <v>142</v>
      </c>
      <c r="AB1" s="2" t="s">
        <v>143</v>
      </c>
      <c r="AK1" s="2" t="s">
        <v>150</v>
      </c>
    </row>
    <row r="2" spans="1:45" ht="18.7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 t="s">
        <v>0</v>
      </c>
      <c r="K2" s="47"/>
      <c r="L2" s="47"/>
      <c r="M2" s="47"/>
      <c r="N2" s="47"/>
      <c r="O2" s="47"/>
      <c r="P2" s="47"/>
      <c r="Q2" s="47"/>
      <c r="R2" s="47"/>
      <c r="S2" s="47" t="s">
        <v>0</v>
      </c>
      <c r="T2" s="47"/>
      <c r="U2" s="47"/>
      <c r="V2" s="47"/>
      <c r="W2" s="47"/>
      <c r="X2" s="47"/>
      <c r="Y2" s="47"/>
      <c r="Z2" s="47"/>
      <c r="AA2" s="47"/>
      <c r="AB2" s="47" t="s">
        <v>0</v>
      </c>
      <c r="AC2" s="47"/>
      <c r="AD2" s="47"/>
      <c r="AE2" s="47"/>
      <c r="AF2" s="47"/>
      <c r="AG2" s="47"/>
      <c r="AH2" s="47"/>
      <c r="AI2" s="47"/>
      <c r="AJ2" s="47"/>
      <c r="AK2" s="47" t="s">
        <v>0</v>
      </c>
      <c r="AL2" s="47"/>
      <c r="AM2" s="47"/>
      <c r="AN2" s="47"/>
      <c r="AO2" s="47"/>
      <c r="AP2" s="47"/>
      <c r="AQ2" s="47"/>
      <c r="AR2" s="47"/>
      <c r="AS2" s="47"/>
    </row>
    <row r="3" spans="1:45" ht="18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 t="s">
        <v>1</v>
      </c>
      <c r="K3" s="47"/>
      <c r="L3" s="47"/>
      <c r="M3" s="47"/>
      <c r="N3" s="47"/>
      <c r="O3" s="47"/>
      <c r="P3" s="47"/>
      <c r="Q3" s="47"/>
      <c r="R3" s="47"/>
      <c r="S3" s="47" t="s">
        <v>1</v>
      </c>
      <c r="T3" s="47"/>
      <c r="U3" s="47"/>
      <c r="V3" s="47"/>
      <c r="W3" s="47"/>
      <c r="X3" s="47"/>
      <c r="Y3" s="47"/>
      <c r="Z3" s="47"/>
      <c r="AA3" s="47"/>
      <c r="AB3" s="47" t="s">
        <v>1</v>
      </c>
      <c r="AC3" s="47"/>
      <c r="AD3" s="47"/>
      <c r="AE3" s="47"/>
      <c r="AF3" s="47"/>
      <c r="AG3" s="47"/>
      <c r="AH3" s="47"/>
      <c r="AI3" s="47"/>
      <c r="AJ3" s="47"/>
      <c r="AK3" s="47" t="s">
        <v>1</v>
      </c>
      <c r="AL3" s="47"/>
      <c r="AM3" s="47"/>
      <c r="AN3" s="47"/>
      <c r="AO3" s="47"/>
      <c r="AP3" s="47"/>
      <c r="AQ3" s="47"/>
      <c r="AR3" s="47"/>
      <c r="AS3" s="47"/>
    </row>
    <row r="4" spans="1:45" ht="15.75">
      <c r="A4" s="48" t="str">
        <f>Data!B10</f>
        <v>SW Section 101</v>
      </c>
      <c r="B4" s="48"/>
      <c r="C4" s="48"/>
      <c r="D4" s="48"/>
      <c r="E4" s="48"/>
      <c r="F4" s="48"/>
      <c r="G4" s="48"/>
      <c r="H4" s="48"/>
      <c r="I4" s="48"/>
      <c r="J4" s="48" t="str">
        <f>Data!B10</f>
        <v>SW Section 101</v>
      </c>
      <c r="K4" s="48"/>
      <c r="L4" s="48"/>
      <c r="M4" s="48"/>
      <c r="N4" s="48"/>
      <c r="O4" s="48"/>
      <c r="P4" s="48"/>
      <c r="Q4" s="48"/>
      <c r="R4" s="48"/>
      <c r="S4" s="48" t="str">
        <f>Data!B10</f>
        <v>SW Section 101</v>
      </c>
      <c r="T4" s="48"/>
      <c r="U4" s="48"/>
      <c r="V4" s="48"/>
      <c r="W4" s="48"/>
      <c r="X4" s="48"/>
      <c r="Y4" s="48"/>
      <c r="Z4" s="48"/>
      <c r="AA4" s="48"/>
      <c r="AB4" s="48" t="str">
        <f>Data!B10</f>
        <v>SW Section 101</v>
      </c>
      <c r="AC4" s="48"/>
      <c r="AD4" s="48"/>
      <c r="AE4" s="48"/>
      <c r="AF4" s="48"/>
      <c r="AG4" s="48"/>
      <c r="AH4" s="48"/>
      <c r="AI4" s="48"/>
      <c r="AJ4" s="48"/>
      <c r="AK4" s="48" t="str">
        <f>Data!B10</f>
        <v>SW Section 101</v>
      </c>
      <c r="AL4" s="48"/>
      <c r="AM4" s="48"/>
      <c r="AN4" s="48"/>
      <c r="AO4" s="48"/>
      <c r="AP4" s="48"/>
      <c r="AQ4" s="48"/>
      <c r="AR4" s="48"/>
      <c r="AS4" s="48"/>
    </row>
    <row r="5" spans="10:45" ht="15.75">
      <c r="J5" s="48" t="str">
        <f>Data!B4</f>
        <v>Joe Irrigator</v>
      </c>
      <c r="K5" s="48"/>
      <c r="L5" s="48"/>
      <c r="M5" s="48"/>
      <c r="N5" s="48"/>
      <c r="O5" s="48"/>
      <c r="P5" s="48"/>
      <c r="Q5" s="48"/>
      <c r="R5" s="48"/>
      <c r="S5" s="48" t="str">
        <f>Data!B4</f>
        <v>Joe Irrigator</v>
      </c>
      <c r="T5" s="48"/>
      <c r="U5" s="48"/>
      <c r="V5" s="48"/>
      <c r="W5" s="48"/>
      <c r="X5" s="48"/>
      <c r="Y5" s="48"/>
      <c r="Z5" s="48"/>
      <c r="AA5" s="48"/>
      <c r="AB5" s="48" t="str">
        <f>Data!B4</f>
        <v>Joe Irrigator</v>
      </c>
      <c r="AC5" s="48"/>
      <c r="AD5" s="48"/>
      <c r="AE5" s="48"/>
      <c r="AF5" s="48"/>
      <c r="AG5" s="48"/>
      <c r="AH5" s="48"/>
      <c r="AI5" s="48"/>
      <c r="AJ5" s="48"/>
      <c r="AK5" s="48" t="str">
        <f>Data!B4</f>
        <v>Joe Irrigator</v>
      </c>
      <c r="AL5" s="48"/>
      <c r="AM5" s="48"/>
      <c r="AN5" s="48"/>
      <c r="AO5" s="48"/>
      <c r="AP5" s="48"/>
      <c r="AQ5" s="48"/>
      <c r="AR5" s="48"/>
      <c r="AS5" s="48"/>
    </row>
    <row r="6" spans="1:45" ht="15.75">
      <c r="A6" s="2" t="s">
        <v>101</v>
      </c>
      <c r="F6" s="2" t="str">
        <f>Data!B4</f>
        <v>Joe Irrigator</v>
      </c>
      <c r="J6" s="46">
        <f>Data!B5</f>
        <v>36203</v>
      </c>
      <c r="K6" s="46"/>
      <c r="L6" s="46"/>
      <c r="M6" s="46"/>
      <c r="N6" s="46"/>
      <c r="O6" s="46"/>
      <c r="P6" s="46"/>
      <c r="Q6" s="46"/>
      <c r="R6" s="46"/>
      <c r="S6" s="46">
        <f>Data!B5</f>
        <v>36203</v>
      </c>
      <c r="T6" s="46"/>
      <c r="U6" s="46"/>
      <c r="V6" s="46"/>
      <c r="W6" s="46"/>
      <c r="X6" s="46"/>
      <c r="Y6" s="46"/>
      <c r="Z6" s="46"/>
      <c r="AA6" s="46"/>
      <c r="AB6" s="46">
        <f>Data!B5</f>
        <v>36203</v>
      </c>
      <c r="AC6" s="46"/>
      <c r="AD6" s="46"/>
      <c r="AE6" s="46"/>
      <c r="AF6" s="46"/>
      <c r="AG6" s="46"/>
      <c r="AH6" s="46"/>
      <c r="AI6" s="46"/>
      <c r="AJ6" s="46"/>
      <c r="AK6" s="46">
        <f>Data!B5</f>
        <v>36203</v>
      </c>
      <c r="AL6" s="46"/>
      <c r="AM6" s="46"/>
      <c r="AN6" s="46"/>
      <c r="AO6" s="46"/>
      <c r="AP6" s="46"/>
      <c r="AQ6" s="46"/>
      <c r="AR6" s="46"/>
      <c r="AS6" s="46"/>
    </row>
    <row r="7" spans="1:6" ht="15.75">
      <c r="A7" s="2" t="s">
        <v>102</v>
      </c>
      <c r="F7" s="23">
        <f>Data!B5</f>
        <v>36203</v>
      </c>
    </row>
    <row r="8" spans="1:36" ht="15.75">
      <c r="A8" s="2" t="s">
        <v>6</v>
      </c>
      <c r="F8" s="2" t="str">
        <f>Data!B8</f>
        <v>UWCD</v>
      </c>
      <c r="J8" s="2" t="s">
        <v>129</v>
      </c>
      <c r="M8" s="2" t="s">
        <v>141</v>
      </c>
      <c r="AE8" s="2" t="s">
        <v>144</v>
      </c>
      <c r="AJ8" s="25">
        <f>Data!B42</f>
        <v>0.18</v>
      </c>
    </row>
    <row r="9" spans="1:36" ht="15.75">
      <c r="A9" s="2" t="s">
        <v>5</v>
      </c>
      <c r="F9" s="2" t="str">
        <f>Data!B6</f>
        <v>Home</v>
      </c>
      <c r="M9" s="2" t="s">
        <v>140</v>
      </c>
      <c r="AE9" s="2" t="s">
        <v>145</v>
      </c>
      <c r="AJ9" s="2">
        <f>Data!B39</f>
        <v>1450</v>
      </c>
    </row>
    <row r="10" spans="1:37" ht="18.75">
      <c r="A10" s="2" t="s">
        <v>103</v>
      </c>
      <c r="F10" s="2" t="str">
        <f>Data!B7</f>
        <v>MS, MM</v>
      </c>
      <c r="AE10" s="2" t="s">
        <v>146</v>
      </c>
      <c r="AJ10" s="33">
        <f>Calculations!B28</f>
        <v>0.9443728367307288</v>
      </c>
      <c r="AK10" s="1" t="s">
        <v>97</v>
      </c>
    </row>
    <row r="11" spans="11:18" ht="15.75">
      <c r="K11" s="2" t="s">
        <v>131</v>
      </c>
      <c r="Q11" s="37">
        <f>Calculations!B16</f>
        <v>1.0113402687304711</v>
      </c>
      <c r="R11" s="2" t="s">
        <v>130</v>
      </c>
    </row>
    <row r="12" spans="1:37" ht="19.5" thickBot="1">
      <c r="A12" s="26" t="s">
        <v>104</v>
      </c>
      <c r="B12" s="24"/>
      <c r="C12" s="24"/>
      <c r="D12" s="24"/>
      <c r="AB12" s="49" t="s">
        <v>144</v>
      </c>
      <c r="AC12" s="49"/>
      <c r="AD12" s="49"/>
      <c r="AE12" s="49" t="s">
        <v>147</v>
      </c>
      <c r="AF12" s="49"/>
      <c r="AG12" s="49"/>
      <c r="AH12" s="49" t="s">
        <v>149</v>
      </c>
      <c r="AI12" s="49"/>
      <c r="AJ12" s="27" t="s">
        <v>148</v>
      </c>
      <c r="AK12" s="2" t="str">
        <f>'Graph and Comments'!A41</f>
        <v>Water need was based on 65% soil moisture and .72" water/ft of soil at field capacity.</v>
      </c>
    </row>
    <row r="13" spans="1:37" ht="15.75">
      <c r="A13" s="2" t="s">
        <v>105</v>
      </c>
      <c r="F13" s="2" t="str">
        <f>Data!B11</f>
        <v>Acme Pivots</v>
      </c>
      <c r="AB13" s="19"/>
      <c r="AC13" s="39">
        <v>5</v>
      </c>
      <c r="AD13" s="21"/>
      <c r="AE13" s="19"/>
      <c r="AF13" s="35">
        <f>Calculations!$B$7/((Calculations!$B$4/Data!$B$42)*(Report!AC13/100))</f>
        <v>561.3931570285722</v>
      </c>
      <c r="AG13" s="21"/>
      <c r="AH13" s="50">
        <f>(AF13*Data!$B$39)/(453*Calculations!$B$13)</f>
        <v>3.640824967429696</v>
      </c>
      <c r="AI13" s="51"/>
      <c r="AJ13" s="34">
        <f>AH13*Calculations!$B$28</f>
        <v>3.4382962025316455</v>
      </c>
      <c r="AK13" s="2" t="str">
        <f>'Graph and Comments'!A42</f>
        <v>Integrate soil moisture monitoring into the management system.</v>
      </c>
    </row>
    <row r="14" spans="1:37" ht="15.75">
      <c r="A14" s="2" t="s">
        <v>8</v>
      </c>
      <c r="F14" s="2">
        <f>Data!B12</f>
        <v>17</v>
      </c>
      <c r="J14" s="2" t="s">
        <v>132</v>
      </c>
      <c r="Q14" s="37">
        <f>Calculations!B19</f>
        <v>0.9550822784810126</v>
      </c>
      <c r="R14" s="2" t="s">
        <v>130</v>
      </c>
      <c r="AB14" s="15"/>
      <c r="AC14" s="28">
        <v>10</v>
      </c>
      <c r="AD14" s="16"/>
      <c r="AE14" s="15"/>
      <c r="AF14" s="36">
        <f>Calculations!$B$7/((Calculations!$B$4/Data!$B$42)*(Report!AC14/100))</f>
        <v>280.6965785142861</v>
      </c>
      <c r="AG14" s="22"/>
      <c r="AH14" s="52">
        <f>(AF14*Data!$B$39)/(453*Calculations!$B$13)</f>
        <v>1.820412483714848</v>
      </c>
      <c r="AI14" s="53"/>
      <c r="AJ14" s="40">
        <f>AH14*Calculations!$B$28</f>
        <v>1.7191481012658227</v>
      </c>
      <c r="AK14" s="2" t="str">
        <f>'Graph and Comments'!A43</f>
        <v> </v>
      </c>
    </row>
    <row r="15" spans="1:37" ht="15.75">
      <c r="A15" s="2" t="s">
        <v>106</v>
      </c>
      <c r="B15" s="2" t="s">
        <v>107</v>
      </c>
      <c r="F15" s="2" t="str">
        <f>Data!B14</f>
        <v>Wobbler</v>
      </c>
      <c r="AB15" s="15"/>
      <c r="AC15" s="28">
        <v>15</v>
      </c>
      <c r="AD15" s="16"/>
      <c r="AE15" s="15"/>
      <c r="AF15" s="36">
        <f>Calculations!$B$7/((Calculations!$B$4/Data!$B$42)*(Report!AC15/100))</f>
        <v>187.1310523428574</v>
      </c>
      <c r="AG15" s="22"/>
      <c r="AH15" s="52">
        <f>(AF15*Data!$B$39)/(453*Calculations!$B$13)</f>
        <v>1.2136083224765655</v>
      </c>
      <c r="AI15" s="53"/>
      <c r="AJ15" s="40">
        <f>AH15*Calculations!$B$28</f>
        <v>1.1460987341772153</v>
      </c>
      <c r="AK15" s="2" t="str">
        <f>'Graph and Comments'!A44</f>
        <v>The moving average line reflects a general trend of the pattern and application of water</v>
      </c>
    </row>
    <row r="16" spans="2:37" ht="15.75">
      <c r="B16" s="2" t="s">
        <v>12</v>
      </c>
      <c r="F16" s="2" t="str">
        <f>Data!B16</f>
        <v>Full Circle</v>
      </c>
      <c r="AB16" s="15"/>
      <c r="AC16" s="28">
        <v>20</v>
      </c>
      <c r="AD16" s="16"/>
      <c r="AE16" s="15"/>
      <c r="AF16" s="36">
        <f>Calculations!$B$7/((Calculations!$B$4/Data!$B$42)*(Report!AC16/100))</f>
        <v>140.34828925714305</v>
      </c>
      <c r="AG16" s="22"/>
      <c r="AH16" s="52">
        <f>(AF16*Data!$B$39)/(453*Calculations!$B$13)</f>
        <v>0.910206241857424</v>
      </c>
      <c r="AI16" s="53"/>
      <c r="AJ16" s="40">
        <f>AH16*Calculations!$B$28</f>
        <v>0.8595740506329114</v>
      </c>
      <c r="AK16" s="2" t="str">
        <f>'Graph and Comments'!A45</f>
        <v>along the length of the pivot.</v>
      </c>
    </row>
    <row r="17" spans="2:37" ht="15.75">
      <c r="B17" s="2" t="s">
        <v>108</v>
      </c>
      <c r="F17" s="2" t="str">
        <f>Data!B18</f>
        <v>Drop</v>
      </c>
      <c r="J17" s="2" t="s">
        <v>133</v>
      </c>
      <c r="Q17" s="37">
        <f>Calculations!B22</f>
        <v>0.7355908289241623</v>
      </c>
      <c r="R17" s="2" t="s">
        <v>130</v>
      </c>
      <c r="AB17" s="15"/>
      <c r="AC17" s="28">
        <v>25</v>
      </c>
      <c r="AD17" s="16"/>
      <c r="AE17" s="15"/>
      <c r="AF17" s="36">
        <f>Calculations!$B$7/((Calculations!$B$4/Data!$B$42)*(Report!AC17/100))</f>
        <v>112.27863140571445</v>
      </c>
      <c r="AG17" s="22"/>
      <c r="AH17" s="52">
        <f>(AF17*Data!$B$39)/(453*Calculations!$B$13)</f>
        <v>0.7281649934859393</v>
      </c>
      <c r="AI17" s="53"/>
      <c r="AJ17" s="40">
        <f>AH17*Calculations!$B$28</f>
        <v>0.6876592405063292</v>
      </c>
      <c r="AK17" s="2" t="str">
        <f>'Graph and Comments'!A46</f>
        <v> </v>
      </c>
    </row>
    <row r="18" spans="2:37" ht="15.75">
      <c r="B18" s="2" t="s">
        <v>109</v>
      </c>
      <c r="F18" s="2">
        <f>Data!B13</f>
        <v>18</v>
      </c>
      <c r="AB18" s="15"/>
      <c r="AC18" s="28">
        <v>30</v>
      </c>
      <c r="AD18" s="16"/>
      <c r="AE18" s="15"/>
      <c r="AF18" s="36">
        <f>Calculations!$B$7/((Calculations!$B$4/Data!$B$42)*(Report!AC18/100))</f>
        <v>93.5655261714287</v>
      </c>
      <c r="AG18" s="22"/>
      <c r="AH18" s="52">
        <f>(AF18*Data!$B$39)/(453*Calculations!$B$13)</f>
        <v>0.6068041612382827</v>
      </c>
      <c r="AI18" s="53"/>
      <c r="AJ18" s="40">
        <f>AH18*Calculations!$B$28</f>
        <v>0.5730493670886077</v>
      </c>
      <c r="AK18" s="2" t="str">
        <f>'Graph and Comments'!A47</f>
        <v>The "Inches Per Day" value represents the gross application of water when the pivot</v>
      </c>
    </row>
    <row r="19" spans="2:37" ht="15.75">
      <c r="B19" s="2" t="s">
        <v>110</v>
      </c>
      <c r="F19" s="2">
        <f>Data!B19</f>
        <v>3</v>
      </c>
      <c r="AB19" s="15"/>
      <c r="AC19" s="28">
        <v>35</v>
      </c>
      <c r="AD19" s="16"/>
      <c r="AE19" s="15"/>
      <c r="AF19" s="36">
        <f>Calculations!$B$7/((Calculations!$B$4/Data!$B$42)*(Report!AC19/100))</f>
        <v>80.19902243265318</v>
      </c>
      <c r="AG19" s="22"/>
      <c r="AH19" s="52">
        <f>(AF19*Data!$B$39)/(453*Calculations!$B$13)</f>
        <v>0.5201178524899567</v>
      </c>
      <c r="AI19" s="53"/>
      <c r="AJ19" s="40">
        <f>AH19*Calculations!$B$28</f>
        <v>0.49118517179023513</v>
      </c>
      <c r="AK19" s="2" t="str">
        <f>'Graph and Comments'!A48</f>
        <v>completes one full revolution in 24 hours at 1450 gpm.</v>
      </c>
    </row>
    <row r="20" spans="1:37" ht="15.75">
      <c r="A20" s="2" t="s">
        <v>11</v>
      </c>
      <c r="F20" s="2" t="str">
        <f>Data!B15</f>
        <v>Yes</v>
      </c>
      <c r="J20" s="2" t="s">
        <v>134</v>
      </c>
      <c r="AB20" s="15"/>
      <c r="AC20" s="28">
        <v>40</v>
      </c>
      <c r="AD20" s="16"/>
      <c r="AE20" s="15"/>
      <c r="AF20" s="36">
        <f>Calculations!$B$7/((Calculations!$B$4/Data!$B$42)*(Report!AC20/100))</f>
        <v>70.17414462857153</v>
      </c>
      <c r="AG20" s="22"/>
      <c r="AH20" s="52">
        <f>(AF20*Data!$B$39)/(453*Calculations!$B$13)</f>
        <v>0.455103120928712</v>
      </c>
      <c r="AI20" s="53"/>
      <c r="AJ20" s="40">
        <f>AH20*Calculations!$B$28</f>
        <v>0.4297870253164557</v>
      </c>
      <c r="AK20" s="2" t="str">
        <f>'Graph and Comments'!A49</f>
        <v> </v>
      </c>
    </row>
    <row r="21" spans="28:37" ht="15.75">
      <c r="AB21" s="15"/>
      <c r="AC21" s="28">
        <v>45</v>
      </c>
      <c r="AD21" s="16"/>
      <c r="AE21" s="15"/>
      <c r="AF21" s="36">
        <f>Calculations!$B$7/((Calculations!$B$4/Data!$B$42)*(Report!AC21/100))</f>
        <v>62.37701744761914</v>
      </c>
      <c r="AG21" s="22"/>
      <c r="AH21" s="52">
        <f>(AF21*Data!$B$39)/(453*Calculations!$B$13)</f>
        <v>0.40453610749218855</v>
      </c>
      <c r="AI21" s="53"/>
      <c r="AJ21" s="40">
        <f>AH21*Calculations!$B$28</f>
        <v>0.38203291139240514</v>
      </c>
      <c r="AK21" s="2" t="str">
        <f>'Graph and Comments'!A50</f>
        <v>The application rate ranged from a high of 1.72 inches to a low of 0.34 inches.</v>
      </c>
    </row>
    <row r="22" spans="1:37" ht="19.5" thickBot="1">
      <c r="A22" s="26" t="s">
        <v>111</v>
      </c>
      <c r="B22" s="24"/>
      <c r="C22" s="24"/>
      <c r="D22" s="24"/>
      <c r="J22" s="2" t="str">
        <f>'Graph and Comments'!A24</f>
        <v>Based on the catch can results (see graph sheet #3)</v>
      </c>
      <c r="AB22" s="15"/>
      <c r="AC22" s="28">
        <v>50</v>
      </c>
      <c r="AD22" s="16"/>
      <c r="AE22" s="15"/>
      <c r="AF22" s="36">
        <f>Calculations!$B$7/((Calculations!$B$4/Data!$B$42)*(Report!AC22/100))</f>
        <v>56.139315702857225</v>
      </c>
      <c r="AG22" s="22"/>
      <c r="AH22" s="52">
        <f>(AF22*Data!$B$39)/(453*Calculations!$B$13)</f>
        <v>0.36408249674296966</v>
      </c>
      <c r="AI22" s="53"/>
      <c r="AJ22" s="40">
        <f>AH22*Calculations!$B$28</f>
        <v>0.3438296202531646</v>
      </c>
      <c r="AK22" s="2" t="str">
        <f>'Graph and Comments'!A51</f>
        <v> </v>
      </c>
    </row>
    <row r="23" spans="1:37" ht="15.75">
      <c r="A23" s="2" t="s">
        <v>22</v>
      </c>
      <c r="D23" s="2">
        <f>Data!B27</f>
        <v>15</v>
      </c>
      <c r="F23" s="2" t="s">
        <v>23</v>
      </c>
      <c r="I23" s="2" t="str">
        <f>Data!B28</f>
        <v>South</v>
      </c>
      <c r="J23" s="2" t="str">
        <f>'Graph and Comments'!A25</f>
        <v> </v>
      </c>
      <c r="AB23" s="15"/>
      <c r="AC23" s="28">
        <v>55</v>
      </c>
      <c r="AD23" s="16"/>
      <c r="AE23" s="15"/>
      <c r="AF23" s="36">
        <f>Calculations!$B$7/((Calculations!$B$4/Data!$B$42)*(Report!AC23/100))</f>
        <v>51.035741548052016</v>
      </c>
      <c r="AG23" s="22"/>
      <c r="AH23" s="52">
        <f>(AF23*Data!$B$39)/(453*Calculations!$B$13)</f>
        <v>0.3309840879481542</v>
      </c>
      <c r="AI23" s="53"/>
      <c r="AJ23" s="40">
        <f>AH23*Calculations!$B$28</f>
        <v>0.31257238204833143</v>
      </c>
      <c r="AK23" s="2" t="str">
        <f>'Graph and Comments'!A52</f>
        <v>Verify soil type and moisture capacity with your local NRCS or water district office.</v>
      </c>
    </row>
    <row r="24" spans="1:37" ht="15.75">
      <c r="A24" s="2" t="s">
        <v>36</v>
      </c>
      <c r="D24" s="4" t="str">
        <f>Data!B43</f>
        <v>East</v>
      </c>
      <c r="F24" s="2" t="s">
        <v>116</v>
      </c>
      <c r="I24" s="2" t="str">
        <f>Data!B44</f>
        <v>CCW</v>
      </c>
      <c r="J24" s="2" t="str">
        <f>'Graph and Comments'!A26</f>
        <v>Spans 1 thru 4 were applying below the average.</v>
      </c>
      <c r="AB24" s="15"/>
      <c r="AC24" s="28">
        <v>60</v>
      </c>
      <c r="AD24" s="16"/>
      <c r="AE24" s="15"/>
      <c r="AF24" s="36">
        <f>Calculations!$B$7/((Calculations!$B$4/Data!$B$42)*(Report!AC24/100))</f>
        <v>46.78276308571435</v>
      </c>
      <c r="AG24" s="22"/>
      <c r="AH24" s="52">
        <f>(AF24*Data!$B$39)/(453*Calculations!$B$13)</f>
        <v>0.30340208061914137</v>
      </c>
      <c r="AI24" s="53"/>
      <c r="AJ24" s="40">
        <f>AH24*Calculations!$B$28</f>
        <v>0.2865246835443038</v>
      </c>
      <c r="AK24" s="2" t="str">
        <f>'Graph and Comments'!A53</f>
        <v> </v>
      </c>
    </row>
    <row r="25" spans="1:37" ht="15.75">
      <c r="A25" s="2" t="s">
        <v>112</v>
      </c>
      <c r="D25" s="38">
        <f>Data!B33</f>
        <v>0.4155555555555555</v>
      </c>
      <c r="F25" s="2" t="s">
        <v>24</v>
      </c>
      <c r="I25" s="2">
        <f>Data!B29</f>
        <v>88</v>
      </c>
      <c r="J25" s="2" t="str">
        <f>'Graph and Comments'!A27</f>
        <v>Spans 11 thru 13 are applying more than the average.</v>
      </c>
      <c r="AB25" s="15"/>
      <c r="AC25" s="28">
        <v>65</v>
      </c>
      <c r="AD25" s="16"/>
      <c r="AE25" s="15"/>
      <c r="AF25" s="36">
        <f>Calculations!$B$7/((Calculations!$B$4/Data!$B$42)*(Report!AC25/100))</f>
        <v>43.18408900219786</v>
      </c>
      <c r="AG25" s="22"/>
      <c r="AH25" s="52">
        <f>(AF25*Data!$B$39)/(453*Calculations!$B$13)</f>
        <v>0.2800634590330536</v>
      </c>
      <c r="AI25" s="53"/>
      <c r="AJ25" s="40">
        <f>AH25*Calculations!$B$28</f>
        <v>0.26448432327166504</v>
      </c>
      <c r="AK25" s="2" t="str">
        <f>'Graph and Comments'!A54</f>
        <v>Use attached graph to check high and low output nozzles.  Repair or replace as needed.</v>
      </c>
    </row>
    <row r="26" spans="1:37" ht="15.75">
      <c r="A26" s="2" t="s">
        <v>25</v>
      </c>
      <c r="D26" s="2">
        <f>Data!B30</f>
        <v>25</v>
      </c>
      <c r="J26" s="2" t="str">
        <f>'Graph and Comments'!A28</f>
        <v>Spans 15 thru 17 were applying slightly below the average.</v>
      </c>
      <c r="AB26" s="15"/>
      <c r="AC26" s="28">
        <v>70</v>
      </c>
      <c r="AD26" s="16"/>
      <c r="AE26" s="15"/>
      <c r="AF26" s="36">
        <f>Calculations!$B$7/((Calculations!$B$4/Data!$B$42)*(Report!AC26/100))</f>
        <v>40.09951121632659</v>
      </c>
      <c r="AG26" s="22"/>
      <c r="AH26" s="52">
        <f>(AF26*Data!$B$39)/(453*Calculations!$B$13)</f>
        <v>0.26005892624497834</v>
      </c>
      <c r="AI26" s="53"/>
      <c r="AJ26" s="40">
        <f>AH26*Calculations!$B$28</f>
        <v>0.24559258589511757</v>
      </c>
      <c r="AK26" s="2" t="str">
        <f>'Graph and Comments'!A55</f>
        <v>A secondary check can be made using rain guages at various sites to check that the</v>
      </c>
    </row>
    <row r="27" spans="1:37" ht="15.75">
      <c r="A27" s="2" t="s">
        <v>17</v>
      </c>
      <c r="D27" s="2" t="str">
        <f>Data!B21</f>
        <v>Peanuts</v>
      </c>
      <c r="F27" s="2" t="s">
        <v>117</v>
      </c>
      <c r="I27" s="2">
        <f>Data!B22</f>
        <v>10</v>
      </c>
      <c r="J27" s="2" t="str">
        <f>'Graph and Comments'!A29</f>
        <v> </v>
      </c>
      <c r="AB27" s="15"/>
      <c r="AC27" s="28">
        <v>75</v>
      </c>
      <c r="AD27" s="16"/>
      <c r="AE27" s="15"/>
      <c r="AF27" s="36">
        <f>Calculations!$B$7/((Calculations!$B$4/Data!$B$42)*(Report!AC27/100))</f>
        <v>37.42621046857148</v>
      </c>
      <c r="AG27" s="22"/>
      <c r="AH27" s="52">
        <f>(AF27*Data!$B$39)/(453*Calculations!$B$13)</f>
        <v>0.24272166449531313</v>
      </c>
      <c r="AI27" s="53"/>
      <c r="AJ27" s="40">
        <f>AH27*Calculations!$B$28</f>
        <v>0.22921974683544308</v>
      </c>
      <c r="AK27" s="2" t="str">
        <f>'Graph and Comments'!A56</f>
        <v>amount of water applied is in line with control box setting net inches applied chart.</v>
      </c>
    </row>
    <row r="28" spans="1:37" ht="15.75">
      <c r="A28" s="2" t="s">
        <v>19</v>
      </c>
      <c r="D28" s="4" t="str">
        <f>Data!B23</f>
        <v>Brownfield Fine Sand</v>
      </c>
      <c r="F28" s="2" t="s">
        <v>20</v>
      </c>
      <c r="I28" s="2" t="s">
        <v>163</v>
      </c>
      <c r="J28" s="2" t="str">
        <f>'Graph and Comments'!A30</f>
        <v> </v>
      </c>
      <c r="AB28" s="15"/>
      <c r="AC28" s="28">
        <v>80</v>
      </c>
      <c r="AD28" s="16"/>
      <c r="AE28" s="15"/>
      <c r="AF28" s="36">
        <f>Calculations!$B$7/((Calculations!$B$4/Data!$B$42)*(Report!AC28/100))</f>
        <v>35.08707231428576</v>
      </c>
      <c r="AG28" s="22"/>
      <c r="AH28" s="52">
        <f>(AF28*Data!$B$39)/(453*Calculations!$B$13)</f>
        <v>0.227551560464356</v>
      </c>
      <c r="AI28" s="53"/>
      <c r="AJ28" s="40">
        <f>AH28*Calculations!$B$28</f>
        <v>0.21489351265822784</v>
      </c>
      <c r="AK28" s="2" t="str">
        <f>'Graph and Comments'!A57</f>
        <v>Chart data is based on a full circle.</v>
      </c>
    </row>
    <row r="29" spans="1:37" ht="15.75">
      <c r="A29" s="2" t="s">
        <v>123</v>
      </c>
      <c r="D29" s="37">
        <f>Calculations!B34</f>
        <v>0.252</v>
      </c>
      <c r="F29" s="2" t="s">
        <v>126</v>
      </c>
      <c r="I29" s="2">
        <f>Data!B25</f>
        <v>0.72</v>
      </c>
      <c r="J29" s="2" t="str">
        <f>'Graph and Comments'!A31</f>
        <v> </v>
      </c>
      <c r="AB29" s="15"/>
      <c r="AC29" s="28">
        <v>85</v>
      </c>
      <c r="AD29" s="16"/>
      <c r="AE29" s="15"/>
      <c r="AF29" s="36">
        <f>Calculations!$B$7/((Calculations!$B$4/Data!$B$42)*(Report!AC29/100))</f>
        <v>33.02312688403366</v>
      </c>
      <c r="AG29" s="22"/>
      <c r="AH29" s="52">
        <f>(AF29*Data!$B$39)/(453*Calculations!$B$13)</f>
        <v>0.21416617455468803</v>
      </c>
      <c r="AI29" s="53"/>
      <c r="AJ29" s="40">
        <f>AH29*Calculations!$B$28</f>
        <v>0.20225271779597917</v>
      </c>
      <c r="AK29" s="2" t="str">
        <f>'Graph and Comments'!A58</f>
        <v> </v>
      </c>
    </row>
    <row r="30" spans="1:36" ht="15.75">
      <c r="A30" s="2" t="s">
        <v>30</v>
      </c>
      <c r="D30" s="44">
        <f>Data!B36</f>
        <v>2606</v>
      </c>
      <c r="F30" s="2" t="s">
        <v>127</v>
      </c>
      <c r="I30" s="44">
        <f>(Data!B36+Data!B37)</f>
        <v>2616</v>
      </c>
      <c r="J30" s="2" t="str">
        <f>'Graph and Comments'!A32</f>
        <v> </v>
      </c>
      <c r="AB30" s="15"/>
      <c r="AC30" s="28">
        <v>90</v>
      </c>
      <c r="AD30" s="16"/>
      <c r="AE30" s="15"/>
      <c r="AF30" s="36">
        <f>Calculations!$B$7/((Calculations!$B$4/Data!$B$42)*(Report!AC30/100))</f>
        <v>31.18850872380957</v>
      </c>
      <c r="AG30" s="22"/>
      <c r="AH30" s="52">
        <f>(AF30*Data!$B$39)/(453*Calculations!$B$13)</f>
        <v>0.20226805374609427</v>
      </c>
      <c r="AI30" s="53"/>
      <c r="AJ30" s="40">
        <f>AH30*Calculations!$B$28</f>
        <v>0.19101645569620257</v>
      </c>
    </row>
    <row r="31" spans="1:36" ht="15.75">
      <c r="A31" s="2" t="s">
        <v>124</v>
      </c>
      <c r="D31" s="42">
        <f>Calculations!B7</f>
        <v>16373.967079999999</v>
      </c>
      <c r="F31" s="2" t="s">
        <v>118</v>
      </c>
      <c r="I31" s="4" t="str">
        <f>Data!B46</f>
        <v>N/A</v>
      </c>
      <c r="J31" s="2" t="str">
        <f>'Graph and Comments'!A33</f>
        <v> </v>
      </c>
      <c r="AB31" s="15"/>
      <c r="AC31" s="28">
        <v>95</v>
      </c>
      <c r="AD31" s="16"/>
      <c r="AE31" s="15"/>
      <c r="AF31" s="36">
        <f>Calculations!$B$7/((Calculations!$B$4/Data!$B$42)*(Report!AC31/100))</f>
        <v>29.547008264661695</v>
      </c>
      <c r="AG31" s="22"/>
      <c r="AH31" s="52">
        <f>(AF31*Data!$B$39)/(453*Calculations!$B$13)</f>
        <v>0.1916223667068261</v>
      </c>
      <c r="AI31" s="53"/>
      <c r="AJ31" s="40">
        <f>AH31*Calculations!$B$28</f>
        <v>0.18096295802798135</v>
      </c>
    </row>
    <row r="32" spans="1:36" ht="15.75">
      <c r="A32" s="2" t="s">
        <v>113</v>
      </c>
      <c r="D32" s="31">
        <f>Calculations!B4</f>
        <v>104.99999999999984</v>
      </c>
      <c r="F32" s="2" t="s">
        <v>119</v>
      </c>
      <c r="I32" s="25">
        <f>Data!B45</f>
        <v>1</v>
      </c>
      <c r="AB32" s="15"/>
      <c r="AC32" s="28">
        <v>100</v>
      </c>
      <c r="AD32" s="16"/>
      <c r="AE32" s="15"/>
      <c r="AF32" s="36">
        <f>Calculations!$B$7/((Calculations!$B$4/Data!$B$42)*(Report!AC32/100))</f>
        <v>28.069657851428612</v>
      </c>
      <c r="AG32" s="22"/>
      <c r="AH32" s="52">
        <f>(AF32*Data!$B$39)/(453*Calculations!$B$13)</f>
        <v>0.18204124837148483</v>
      </c>
      <c r="AI32" s="53"/>
      <c r="AJ32" s="40">
        <f>AH32*Calculations!$B$28</f>
        <v>0.1719148101265823</v>
      </c>
    </row>
    <row r="33" spans="1:36" ht="15.75">
      <c r="A33" s="2" t="s">
        <v>114</v>
      </c>
      <c r="D33" s="31">
        <f>Calculations!B10</f>
        <v>155.94254361904783</v>
      </c>
      <c r="F33" s="2" t="s">
        <v>120</v>
      </c>
      <c r="I33" s="41">
        <f>(Calculations!B10/Data!B45)</f>
        <v>155.94254361904783</v>
      </c>
      <c r="AB33" s="17"/>
      <c r="AC33" s="14"/>
      <c r="AD33" s="18"/>
      <c r="AE33" s="17"/>
      <c r="AF33" s="14"/>
      <c r="AG33" s="18"/>
      <c r="AH33" s="17"/>
      <c r="AI33" s="18"/>
      <c r="AJ33" s="13"/>
    </row>
    <row r="34" spans="1:13" ht="15.75">
      <c r="A34" s="2" t="s">
        <v>33</v>
      </c>
      <c r="D34" s="2">
        <f>Data!B40</f>
        <v>28</v>
      </c>
      <c r="F34" s="2" t="s">
        <v>121</v>
      </c>
      <c r="I34" s="31">
        <f>Calculations!B13</f>
        <v>493.55677077685954</v>
      </c>
      <c r="J34" s="2" t="s">
        <v>135</v>
      </c>
      <c r="M34" s="2" t="s">
        <v>136</v>
      </c>
    </row>
    <row r="35" spans="1:13" ht="15.75">
      <c r="A35" s="2" t="s">
        <v>32</v>
      </c>
      <c r="D35" s="2">
        <f>Data!B39</f>
        <v>1450</v>
      </c>
      <c r="F35" s="2" t="s">
        <v>34</v>
      </c>
      <c r="I35" s="4" t="str">
        <f>Data!B41</f>
        <v>N/A</v>
      </c>
      <c r="M35" s="2" t="s">
        <v>137</v>
      </c>
    </row>
    <row r="36" spans="1:13" ht="15.75">
      <c r="A36" s="2" t="s">
        <v>115</v>
      </c>
      <c r="C36" s="48" t="s">
        <v>125</v>
      </c>
      <c r="D36" s="48"/>
      <c r="E36" s="48"/>
      <c r="F36" s="2" t="s">
        <v>122</v>
      </c>
      <c r="I36" s="37">
        <f>Calculations!B41</f>
        <v>0.15580635131527268</v>
      </c>
      <c r="M36" s="2" t="s">
        <v>138</v>
      </c>
    </row>
    <row r="37" spans="1:4" ht="15.75">
      <c r="A37" s="2" t="s">
        <v>152</v>
      </c>
      <c r="D37" s="25">
        <f>Data!B42</f>
        <v>0.18</v>
      </c>
    </row>
    <row r="38" spans="11:17" ht="15.75">
      <c r="K38" s="2" t="s">
        <v>139</v>
      </c>
      <c r="Q38" s="43">
        <f>Calculations!B28</f>
        <v>0.9443728367307288</v>
      </c>
    </row>
  </sheetData>
  <mergeCells count="47">
    <mergeCell ref="AH29:AI29"/>
    <mergeCell ref="AH30:AI30"/>
    <mergeCell ref="AH31:AI31"/>
    <mergeCell ref="AH32:AI32"/>
    <mergeCell ref="AH25:AI25"/>
    <mergeCell ref="AH26:AI26"/>
    <mergeCell ref="AH27:AI27"/>
    <mergeCell ref="AH28:AI28"/>
    <mergeCell ref="AH21:AI21"/>
    <mergeCell ref="AH22:AI22"/>
    <mergeCell ref="AH23:AI23"/>
    <mergeCell ref="AH24:AI24"/>
    <mergeCell ref="AH17:AI17"/>
    <mergeCell ref="AH18:AI18"/>
    <mergeCell ref="AH19:AI19"/>
    <mergeCell ref="AH20:AI20"/>
    <mergeCell ref="AH13:AI13"/>
    <mergeCell ref="AH14:AI14"/>
    <mergeCell ref="AH15:AI15"/>
    <mergeCell ref="AH16:AI16"/>
    <mergeCell ref="AB6:AJ6"/>
    <mergeCell ref="AB12:AD12"/>
    <mergeCell ref="AE12:AG12"/>
    <mergeCell ref="AH12:AI12"/>
    <mergeCell ref="AB2:AJ2"/>
    <mergeCell ref="AB3:AJ3"/>
    <mergeCell ref="AB4:AJ4"/>
    <mergeCell ref="AB5:AJ5"/>
    <mergeCell ref="J6:R6"/>
    <mergeCell ref="S2:AA2"/>
    <mergeCell ref="S3:AA3"/>
    <mergeCell ref="S4:AA4"/>
    <mergeCell ref="S5:AA5"/>
    <mergeCell ref="S6:AA6"/>
    <mergeCell ref="J2:R2"/>
    <mergeCell ref="J3:R3"/>
    <mergeCell ref="J4:R4"/>
    <mergeCell ref="J5:R5"/>
    <mergeCell ref="A2:I2"/>
    <mergeCell ref="A3:I3"/>
    <mergeCell ref="A4:I4"/>
    <mergeCell ref="C36:E36"/>
    <mergeCell ref="AK6:AS6"/>
    <mergeCell ref="AK2:AS2"/>
    <mergeCell ref="AK3:AS3"/>
    <mergeCell ref="AK4:AS4"/>
    <mergeCell ref="AK5:AS5"/>
  </mergeCells>
  <printOptions horizontalCentered="1"/>
  <pageMargins left="0.75" right="0.75" top="0.5" bottom="1" header="0.5" footer="0.5"/>
  <pageSetup horizontalDpi="600" verticalDpi="600" orientation="portrait" r:id="rId2"/>
  <headerFooter alignWithMargins="0">
    <oddFooter>&amp;L&amp;F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Water Development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T.W.D.B.</dc:creator>
  <cp:keywords/>
  <dc:description/>
  <cp:lastModifiedBy>Stacy Pandey</cp:lastModifiedBy>
  <cp:lastPrinted>1999-02-12T18:54:53Z</cp:lastPrinted>
  <dcterms:created xsi:type="dcterms:W3CDTF">1998-03-17T16:19:02Z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